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ssumptions" sheetId="1" state="visible" r:id="rId3"/>
    <sheet name="Model" sheetId="2" state="visible" r:id="rId4"/>
    <sheet name="Summary" sheetId="3" state="visible" r:id="rId5"/>
    <sheet name="UnitEconomics" sheetId="4" state="visible" r:id="rId6"/>
    <sheet name="Sensitivity" sheetId="5" state="visible" r:id="rId7"/>
    <sheet name="Market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<sst xmlns="http://schemas.openxmlformats.org/spreadsheetml/2006/main" count="203" uniqueCount="196">
  <si>
    <t xml:space="preserve">BauLynq — Financial Model v2 · Assumptions</t>
  </si>
  <si>
    <t xml:space="preserve">ENTWURF / DRAFT — planning status July 2026. All figures net of 19% USt. Customer counts are expected values (fractional), not integers.</t>
  </si>
  <si>
    <t xml:space="preserve">Legend:</t>
  </si>
  <si>
    <t xml:space="preserve">input (edit)</t>
  </si>
  <si>
    <t xml:space="preserve">formula</t>
  </si>
  <si>
    <t xml:space="preserve">cross-sheet link</t>
  </si>
  <si>
    <t xml:space="preserve">key lever</t>
  </si>
  <si>
    <t xml:space="preserve">SCENARIO</t>
  </si>
  <si>
    <t xml:space="preserve">Active scenario (1=Conservative · 2=Base/self-funded · 3=Funded acceleration · 4=Zielbild/promo draft)</t>
  </si>
  <si>
    <t xml:space="preserve">Parameter</t>
  </si>
  <si>
    <t xml:space="preserve">Conservative</t>
  </si>
  <si>
    <t xml:space="preserve">Base (self-funded)</t>
  </si>
  <si>
    <t xml:space="preserve">Funded acceleration</t>
  </si>
  <si>
    <t xml:space="preserve">Zielbild (draft)</t>
  </si>
  <si>
    <t xml:space="preserve">Active</t>
  </si>
  <si>
    <t xml:space="preserve">New-customer plan multiplier</t>
  </si>
  <si>
    <t xml:space="preserve">Pilot→paid conversion rate</t>
  </si>
  <si>
    <t xml:space="preserve">Monthly gross churn</t>
  </si>
  <si>
    <t xml:space="preserve">Professional share of NEW adds, Jan-27</t>
  </si>
  <si>
    <t xml:space="preserve">Professional share of NEW adds, Dec-28</t>
  </si>
  <si>
    <t xml:space="preserve">Starter→Professional upgrades, %/mo of Starter base</t>
  </si>
  <si>
    <t xml:space="preserve">Marketing budget multiplier</t>
  </si>
  <si>
    <t xml:space="preserve">Hiring delay, months (re-phasing in the downside)</t>
  </si>
  <si>
    <t xml:space="preserve">Scenario notes: Base assumes the plan is executed self-funded (seed = buffer). Funded acceleration assumes the €500k closes Jan-27 and buys sales capacity + marketing. Conservative re-phases hiring by 6 months. Zielbild anchors to the promo's draft target picture (~100 full-platform customers ≈ €1.8m ARR) — its churn (0.75%) and full-platform mix are promo-anchored, above-benchmark assumptions.</t>
  </si>
  <si>
    <t xml:space="preserve">PRICING — Entwurf/draft (source: geschaeftsmodell promo; conversion &amp; onboarding fees proposed)</t>
  </si>
  <si>
    <t xml:space="preserve">Starter tier, €/month (1 module, up to 5 seats)</t>
  </si>
  <si>
    <t xml:space="preserve">Professional tier, €/month (all 10 modules, up to 25 seats)</t>
  </si>
  <si>
    <t xml:space="preserve">Pilot fee, €/month (H2 2026 special terms)</t>
  </si>
  <si>
    <t xml:space="preserve">Onboarding fee, one-time — Starter</t>
  </si>
  <si>
    <t xml:space="preserve">Onboarding fee, one-time — Professional</t>
  </si>
  <si>
    <t xml:space="preserve">Pilot conversion fee, one-time (pilots already onboarded)</t>
  </si>
  <si>
    <t xml:space="preserve">COST ASSUMPTIONS (proposed)</t>
  </si>
  <si>
    <t xml:space="preserve">Employer cost factor on gross salaries</t>
  </si>
  <si>
    <t xml:space="preserve">Annual wage inflation (from 2027)</t>
  </si>
  <si>
    <t xml:space="preserve">Hosting base (Azure EU data zone), €/month</t>
  </si>
  <si>
    <t xml:space="preserve">Hosting, € per customer per month</t>
  </si>
  <si>
    <t xml:space="preserve">Tools &amp; software, €/month</t>
  </si>
  <si>
    <t xml:space="preserve">Tax &amp; construction-law advisors, €/month</t>
  </si>
  <si>
    <t xml:space="preserve">Travel &amp; other operations, €/month (from 2027)</t>
  </si>
  <si>
    <t xml:space="preserve">Payment &amp; misc fees, % of revenue</t>
  </si>
  <si>
    <t xml:space="preserve">Sales commission, % of first-year ACV of new adds</t>
  </si>
  <si>
    <t xml:space="preserve">Contingency, % of operating costs</t>
  </si>
  <si>
    <t xml:space="preserve">Corporate tax rate (KSt + GewSt, simplified, with loss carryforward)</t>
  </si>
  <si>
    <t xml:space="preserve">Marketing &amp; events, €/month by year (before scenario multiplier):</t>
  </si>
  <si>
    <t xml:space="preserve">Includes trade fairs (BAU / digitalBAU), content and paid acquisition. Benchmark: early SaaS spends 20–40% of revenue on S&amp;M.</t>
  </si>
  <si>
    <t xml:space="preserve">PERSONNEL PLAN (proposed — core team per businessplan promo; 3% wage inflation applied in Model)</t>
  </si>
  <si>
    <t xml:space="preserve">Role</t>
  </si>
  <si>
    <t xml:space="preserve">Gross €/mo</t>
  </si>
  <si>
    <t xml:space="preserve">Start</t>
  </si>
  <si>
    <t xml:space="preserve">Loaded €/yr</t>
  </si>
  <si>
    <t xml:space="preserve">COGS</t>
  </si>
  <si>
    <t xml:space="preserve">Sales</t>
  </si>
  <si>
    <t xml:space="preserve">Headcount</t>
  </si>
  <si>
    <t xml:space="preserve">Founder — M. El Ejel (product &amp; engineering)</t>
  </si>
  <si>
    <t xml:space="preserve">Founder salary step-up (from 2028)</t>
  </si>
  <si>
    <t xml:space="preserve">Sales / AE #1</t>
  </si>
  <si>
    <t xml:space="preserve">Onboarding &amp; Support #1</t>
  </si>
  <si>
    <t xml:space="preserve">Engineer #1</t>
  </si>
  <si>
    <t xml:space="preserve">Sales / AE #2</t>
  </si>
  <si>
    <t xml:space="preserve">Onboarding &amp; Support #2</t>
  </si>
  <si>
    <t xml:space="preserve">Engineer #2</t>
  </si>
  <si>
    <t xml:space="preserve">Co-founders S. Alabdallah (Construction &amp; Operations) and Majd El Ejel (Engineering) are not on payroll in this plan — full-time transitions planned with the round; update this table when decided.</t>
  </si>
  <si>
    <t xml:space="preserve">FUNDING (proposed)</t>
  </si>
  <si>
    <t xml:space="preserve">Proposed seed raise, €</t>
  </si>
  <si>
    <t xml:space="preserve">Assumed close month</t>
  </si>
  <si>
    <t xml:space="preserve">Founder contribution / opening cash, Jul 2026</t>
  </si>
  <si>
    <t xml:space="preserve">Peak pre-funding cash need (from Model, excl. opening cash)</t>
  </si>
  <si>
    <t xml:space="preserve">Minimum cash balance (post-funding, incl. opening cash)</t>
  </si>
  <si>
    <t xml:space="preserve">Sizing: covers the Conservative-case peak need with reserve; the remainder funds GTM acceleration (scenario 3).</t>
  </si>
  <si>
    <t xml:space="preserve">SALES FUNNEL (2027 steady state — reconciles to the new-customer plan row)</t>
  </si>
  <si>
    <t xml:space="preserve">Qualified leads / month (founder network, pilot referrals, inbound)</t>
  </si>
  <si>
    <t xml:space="preserve">Lead → demo rate</t>
  </si>
  <si>
    <t xml:space="preserve">Demo → close rate (3-month pilot-led cycle)</t>
  </si>
  <si>
    <t xml:space="preserve">Implied closes / month</t>
  </si>
  <si>
    <t xml:space="preserve">Plan row average 2027 (2.5/mo) sits below the implied 3.0/mo — headroom for ramp-up of AE #1 (50% productivity months 1–4).</t>
  </si>
  <si>
    <t xml:space="preserve">UNIT-ECONOMICS SETTINGS</t>
  </si>
  <si>
    <t xml:space="preserve">LTV lifetime cap, months (prudence cap)</t>
  </si>
  <si>
    <t xml:space="preserve">NOT YET MODELLED (noted for diligence)</t>
  </si>
  <si>
    <t xml:space="preserve">Enterprise tier (&gt;25 seats) · in-tier seat expansion (NRR driver) · price indexation from 2028 · DACH entry costs (~€3k/mo from 2028) · DSO/receivables swing (annual-prepay recommended) · early-cohort churn ramp.</t>
  </si>
  <si>
    <t xml:space="preserve">BauLynq — Monthly Operating Model v2 · Jul 2026 – Dec 2029</t>
  </si>
  <si>
    <t xml:space="preserve">Month</t>
  </si>
  <si>
    <t xml:space="preserve">Year</t>
  </si>
  <si>
    <t xml:space="preserve">CUSTOMERS (cohort-based)</t>
  </si>
  <si>
    <t xml:space="preserve">Pilots active (input — H2 2026 cohort)</t>
  </si>
  <si>
    <t xml:space="preserve">Pilot conversions to paid</t>
  </si>
  <si>
    <t xml:space="preserve">Planned new customers (input — sales plan)</t>
  </si>
  <si>
    <t xml:space="preserve">New customers (scenario-adjusted)</t>
  </si>
  <si>
    <t xml:space="preserve">Gross adds (conversions + new)</t>
  </si>
  <si>
    <t xml:space="preserve">Professional share of new adds</t>
  </si>
  <si>
    <t xml:space="preserve">Adds → Professional</t>
  </si>
  <si>
    <t xml:space="preserve">Adds → Starter</t>
  </si>
  <si>
    <t xml:space="preserve">Starter — opening</t>
  </si>
  <si>
    <t xml:space="preserve">Starter — churn</t>
  </si>
  <si>
    <t xml:space="preserve">Starter — upgrades to Professional</t>
  </si>
  <si>
    <t xml:space="preserve">Starter — closing</t>
  </si>
  <si>
    <t xml:space="preserve">Professional — opening</t>
  </si>
  <si>
    <t xml:space="preserve">Professional — churn</t>
  </si>
  <si>
    <t xml:space="preserve">Professional — closing</t>
  </si>
  <si>
    <t xml:space="preserve">Total customers (expected value)</t>
  </si>
  <si>
    <t xml:space="preserve">REVENUE (€, net of USt)</t>
  </si>
  <si>
    <t xml:space="preserve">MRR — Starter</t>
  </si>
  <si>
    <t xml:space="preserve">MRR — Professional</t>
  </si>
  <si>
    <t xml:space="preserve">Subscription MRR</t>
  </si>
  <si>
    <t xml:space="preserve">ARR (run-rate, subscriptions only — excl. pilot fees)</t>
  </si>
  <si>
    <t xml:space="preserve">Pilot fees (other revenue, special terms)</t>
  </si>
  <si>
    <t xml:space="preserve">Onboarding &amp; migration revenue (one-time)</t>
  </si>
  <si>
    <t xml:space="preserve">Total revenue</t>
  </si>
  <si>
    <t xml:space="preserve">OPERATING COSTS (€)</t>
  </si>
  <si>
    <t xml:space="preserve">Personnel (loaded, incl. wage inflation &amp; scenario hiring delay)</t>
  </si>
  <si>
    <t xml:space="preserve">Sales commissions (10% of first-year ACV of adds)</t>
  </si>
  <si>
    <t xml:space="preserve">Hosting (Azure EU)</t>
  </si>
  <si>
    <t xml:space="preserve">Marketing &amp; events (scenario-scaled)</t>
  </si>
  <si>
    <t xml:space="preserve">Tools, software &amp; advisors</t>
  </si>
  <si>
    <t xml:space="preserve">Travel &amp; other</t>
  </si>
  <si>
    <t xml:space="preserve">Payment &amp; misc fees</t>
  </si>
  <si>
    <t xml:space="preserve">Contingency (10% of opex)</t>
  </si>
  <si>
    <t xml:space="preserve">Total operating costs</t>
  </si>
  <si>
    <t xml:space="preserve">EBITDA</t>
  </si>
  <si>
    <t xml:space="preserve">Cumulative EBITDA (pre-tax helper)</t>
  </si>
  <si>
    <t xml:space="preserve">Tax (KSt+GewSt ~30%, simplified, loss carryforward)</t>
  </si>
  <si>
    <t xml:space="preserve">Net cash result (EBITDA − tax)</t>
  </si>
  <si>
    <t xml:space="preserve">Cumulative cash flow (pre-funding, post-tax)</t>
  </si>
  <si>
    <t xml:space="preserve">FUNDING &amp; CASH</t>
  </si>
  <si>
    <t xml:space="preserve">Seed inflow</t>
  </si>
  <si>
    <t xml:space="preserve">Cash balance (post-funding, incl. opening cash)</t>
  </si>
  <si>
    <t xml:space="preserve">Runway, months (cash ÷ trailing 3-mo burn; blank = cash-generative)</t>
  </si>
  <si>
    <t xml:space="preserve">S&amp;M costs (CAC basis: marketing + commissions + sales comp)</t>
  </si>
  <si>
    <t xml:space="preserve">BauLynq — Financial Summary 2026–2029</t>
  </si>
  <si>
    <t xml:space="preserve">KEY INDICATORS</t>
  </si>
  <si>
    <t xml:space="preserve">Customers, end of 2028 (expected value)</t>
  </si>
  <si>
    <t xml:space="preserve">ARR, Dec 2028 (run-rate, subscriptions)</t>
  </si>
  <si>
    <t xml:space="preserve">Total revenue 2028</t>
  </si>
  <si>
    <t xml:space="preserve">EBITDA 2028</t>
  </si>
  <si>
    <t xml:space="preserve">Peak pre-funding cash need</t>
  </si>
  <si>
    <t xml:space="preserve">Proposed seed raise</t>
  </si>
  <si>
    <t xml:space="preserve">Minimum post-funding cash balance</t>
  </si>
  <si>
    <t xml:space="preserve">Headcount, end of 2028</t>
  </si>
  <si>
    <t xml:space="preserve">LTV / CAC (2028, lifetime capped 48 mo)</t>
  </si>
  <si>
    <t xml:space="preserve">CAC payback, months</t>
  </si>
  <si>
    <t xml:space="preserve">ANNUAL VIEW</t>
  </si>
  <si>
    <t xml:space="preserve">Customers (EOY, expected value)</t>
  </si>
  <si>
    <t xml:space="preserve">Subscription MRR (EOY)</t>
  </si>
  <si>
    <t xml:space="preserve">ARR (EOY run-rate)</t>
  </si>
  <si>
    <t xml:space="preserve">  of which subscriptions</t>
  </si>
  <si>
    <t xml:space="preserve">  of which onboarding (one-time)</t>
  </si>
  <si>
    <t xml:space="preserve">  of which pilot fees</t>
  </si>
  <si>
    <t xml:space="preserve">Personnel costs</t>
  </si>
  <si>
    <t xml:space="preserve">S&amp;M costs (CAC basis)</t>
  </si>
  <si>
    <t xml:space="preserve">Tax</t>
  </si>
  <si>
    <t xml:space="preserve">Cumulative cash (EOY, pre-funding, post-tax)</t>
  </si>
  <si>
    <t xml:space="preserve">Cash balance (EOY, post-funding)</t>
  </si>
  <si>
    <t xml:space="preserve">Headcount (EOY)</t>
  </si>
  <si>
    <t xml:space="preserve">BauLynq — Unit Economics (2028)</t>
  </si>
  <si>
    <t xml:space="preserve">ENTWURF/DRAFT — derived from the active scenario; validate with pilot-cohort actuals. LTV lifetime capped at 48 months for prudence.</t>
  </si>
  <si>
    <t xml:space="preserve">SAAS METRICS</t>
  </si>
  <si>
    <t xml:space="preserve">ARPA — blended subscription MRR per customer, Dec 2028</t>
  </si>
  <si>
    <t xml:space="preserve">Gross margin (run-rate: MRR less hosting, fees, support personnel)</t>
  </si>
  <si>
    <t xml:space="preserve">CAC — S&amp;M costs 2028 / gross adds 2028</t>
  </si>
  <si>
    <t xml:space="preserve">Monthly gross churn (active scenario)</t>
  </si>
  <si>
    <t xml:space="preserve">Implied lifetime, months (1/churn)</t>
  </si>
  <si>
    <t xml:space="preserve">Lifetime used for LTV (capped)</t>
  </si>
  <si>
    <t xml:space="preserve">LTV — ARPA × gross margin × capped lifetime</t>
  </si>
  <si>
    <t xml:space="preserve">LTV / CAC</t>
  </si>
  <si>
    <t xml:space="preserve">Benchmarks: LTV/CAC ≥3× is fundable, ≥5× strong; CAC payback &lt;18 months is credible for SMB/mid-market vertical SaaS (High Alpha 2024 SaaS Benchmarks; Tidemark 2025 Vertical &amp; SMB SaaS Benchmark Report).</t>
  </si>
  <si>
    <t xml:space="preserve">LAND &amp; EXPAND — per-customer growth (draft targets per geschaeftsmodell promo)</t>
  </si>
  <si>
    <t xml:space="preserve">At start (land)</t>
  </si>
  <si>
    <t xml:space="preserve">Year-2 target (expand)</t>
  </si>
  <si>
    <t xml:space="preserve">Multiple</t>
  </si>
  <si>
    <t xml:space="preserve">Modules per customer</t>
  </si>
  <si>
    <t xml:space="preserve">Seats per customer (proposed working value)</t>
  </si>
  <si>
    <t xml:space="preserve">MRR per customer</t>
  </si>
  <si>
    <t xml:space="preserve">In the model, expansion is driven by the explicit Starter→Professional upgrade rate (Assumptions row 14) applied to the Starter base — not by silent stock-wide migration.</t>
  </si>
  <si>
    <t xml:space="preserve">Sensitivity — churn × sales-plan multiplier (base-case parameters otherwise)</t>
  </si>
  <si>
    <t xml:space="preserve">Computed offline from the model logic by build_model_v2.py (values, not formulas). ENTWURF/DRAFT.</t>
  </si>
  <si>
    <t xml:space="preserve">ARR Dec-2028 (€)</t>
  </si>
  <si>
    <t xml:space="preserve">churn ↓ / plan multiplier →</t>
  </si>
  <si>
    <t xml:space="preserve">Peak pre-funding cash need (€)</t>
  </si>
  <si>
    <t xml:space="preserve">Reading: this grid holds the personnel plan constant. On that constraint the worst cell at a plan multiplier ≥0.6 needs €598,933 and the absolute worst corner (2.0% churn × 0.4 plan) needs €1,021,390 — both above the proposed €500k seed. Both are the cases in which hiring would be re-phased; the conservative scenario does exactly that and peaks at €310k, inside the round.</t>
  </si>
  <si>
    <t xml:space="preserve">BauLynq — Bottom-up Market Sizing (Germany + DACH)</t>
  </si>
  <si>
    <t xml:space="preserve">MARKET DATA</t>
  </si>
  <si>
    <t xml:space="preserve">German construction volume (Bauvolumen), €/yr — DIW 2025/26</t>
  </si>
  <si>
    <t xml:space="preserve">Construction firms (WZ F) 50–249 employees — Destatis 2024</t>
  </si>
  <si>
    <t xml:space="preserve">Construction firms (WZ F) 250+ employees — Destatis 2024</t>
  </si>
  <si>
    <t xml:space="preserve">Assumed share of 250+ firms with ≤500 employees</t>
  </si>
  <si>
    <t xml:space="preserve">SERVICEABLE MARKET (SAM) &amp; EXPANSION</t>
  </si>
  <si>
    <t xml:space="preserve">Target firms 50–500 employees, Germany (SAM)</t>
  </si>
  <si>
    <t xml:space="preserve">ARR per full-platform customer (Professional ×12)</t>
  </si>
  <si>
    <t xml:space="preserve">SAM value at full-platform ARR</t>
  </si>
  <si>
    <t xml:space="preserve">SAM value at blended ARPA (base-case Dec-28 mix)</t>
  </si>
  <si>
    <t xml:space="preserve">Target customers end-2028 (Zielbild)</t>
  </si>
  <si>
    <t xml:space="preserve">Implied penetration of SAM</t>
  </si>
  <si>
    <t xml:space="preserve">DACH expansion firms, AT+CH 50–500 empl. (estimate, from 2028)</t>
  </si>
  <si>
    <t xml:space="preserve">Enterprise-tier ACV ceiling for 250–500-empl. firms (proposed)</t>
  </si>
  <si>
    <t xml:space="preserve">Expansion vectors beyond the German SAM: (1) DACH (AT/CH ≈ +1,750 firms, estimate); (2) ACV expansion via Enterprise tier and seat overage (ceiling ARPA €40–60k for larger firms); (3) the 10–49-employee band (≈30k firms) with a lighter SKU post-2028. Expanded TAM ≈ €300M+ ARR potential.</t>
  </si>
  <si>
    <t xml:space="preserve">Sources: Destatis Unternehmensregister 2024 (counts confirmed 2026-07-18); DIW Bauvolumenrechnung (Wochenbericht 1+2/2025: 2024 €554.8bn nominal, 2026e €584bn). AT/CH counts are estimates pending Statistik Austria / BFS verification.</t>
  </si>
  <si>
    <t xml:space="preserve">https://www.destatis.de/DE/Themen/Branchen-Unternehmen/Unternehmen/Unternehmensregister/Tabellen/unternehmen-beschaeftigtengroessenklassen-wz08.html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</si>
</sst>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#,##0.0;\(#,##0.0\);\-"/>
    <numFmt numFmtId="166" formatCode="0.0%"/>
    <numFmt numFmtId="167" formatCode="0.00%"/>
    <numFmt numFmtId="168" formatCode="#,##0;\(#,##0\);\-"/>
    <numFmt numFmtId="169" formatCode="\€#,##0;&quot;(€&quot;#,##0\);\-"/>
    <numFmt numFmtId="170" formatCode="mmm\-yy"/>
    <numFmt numFmtId="171" formatCode="0"/>
    <numFmt numFmtId="172" formatCode="0.0\×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b val="true"/>
      <sz val="10"/>
      <color rgb="FF8E2222"/>
      <name val="Arial"/>
      <family val="0"/>
      <charset val="1"/>
    </font>
    <font>
      <b val="true"/>
      <sz val="10"/>
      <name val="Arial"/>
      <family val="0"/>
      <charset val="1"/>
    </font>
    <font>
      <sz val="10"/>
      <color rgb="FF0000FF"/>
      <name val="Arial"/>
      <family val="0"/>
      <charset val="1"/>
    </font>
    <font>
      <sz val="10"/>
      <name val="Arial"/>
      <family val="0"/>
      <charset val="1"/>
    </font>
    <font>
      <sz val="10"/>
      <color rgb="FF00800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i val="true"/>
      <sz val="9"/>
      <color rgb="FF666666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8E2222"/>
        <bgColor rgb="FF993366"/>
      </patternFill>
    </fill>
    <fill>
      <patternFill patternType="solid">
        <fgColor rgb="FFF2F2F2"/>
        <bgColor rgb="FFFAFAFA"/>
      </patternFill>
    </fill>
    <fill>
      <patternFill patternType="solid">
        <fgColor rgb="FFFAFAFA"/>
        <bgColor rgb="FFFFFF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0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11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1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78787"/>
      <rgbColor rgb="FF9999FF"/>
      <rgbColor rgb="FFBE4B48"/>
      <rgbColor rgb="FFFAFAFA"/>
      <rgbColor rgb="FFF2F2F2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8E2222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ARR run-rate (€, monthly)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spPr>
            <a:solidFill>
              <a:srgbClr val="be4b48"/>
            </a:solidFill>
            <a:ln w="47520">
              <a:solidFill>
                <a:srgbClr val="be4b48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Model!$B$4:$AQ$4</c:f>
              <c:strCache>
                <c:ptCount val="42"/>
                <c:pt idx="0">
                  <c:v>Jul-26</c:v>
                </c:pt>
                <c:pt idx="1">
                  <c:v>Aug-26</c:v>
                </c:pt>
                <c:pt idx="2">
                  <c:v>Sep-26</c:v>
                </c:pt>
                <c:pt idx="3">
                  <c:v>Oct-26</c:v>
                </c:pt>
                <c:pt idx="4">
                  <c:v>Nov-26</c:v>
                </c:pt>
                <c:pt idx="5">
                  <c:v>Dec-26</c:v>
                </c:pt>
                <c:pt idx="6">
                  <c:v>Jan-27</c:v>
                </c:pt>
                <c:pt idx="7">
                  <c:v>Feb-27</c:v>
                </c:pt>
                <c:pt idx="8">
                  <c:v>Mar-27</c:v>
                </c:pt>
                <c:pt idx="9">
                  <c:v>Apr-27</c:v>
                </c:pt>
                <c:pt idx="10">
                  <c:v>May-27</c:v>
                </c:pt>
                <c:pt idx="11">
                  <c:v>Jun-27</c:v>
                </c:pt>
                <c:pt idx="12">
                  <c:v>Jul-27</c:v>
                </c:pt>
                <c:pt idx="13">
                  <c:v>Aug-27</c:v>
                </c:pt>
                <c:pt idx="14">
                  <c:v>Sep-27</c:v>
                </c:pt>
                <c:pt idx="15">
                  <c:v>Oct-27</c:v>
                </c:pt>
                <c:pt idx="16">
                  <c:v>Nov-27</c:v>
                </c:pt>
                <c:pt idx="17">
                  <c:v>Dec-27</c:v>
                </c:pt>
                <c:pt idx="18">
                  <c:v>Jan-28</c:v>
                </c:pt>
                <c:pt idx="19">
                  <c:v>Feb-28</c:v>
                </c:pt>
                <c:pt idx="20">
                  <c:v>Mar-28</c:v>
                </c:pt>
                <c:pt idx="21">
                  <c:v>Apr-28</c:v>
                </c:pt>
                <c:pt idx="22">
                  <c:v>May-28</c:v>
                </c:pt>
                <c:pt idx="23">
                  <c:v>Jun-28</c:v>
                </c:pt>
                <c:pt idx="24">
                  <c:v>Jul-28</c:v>
                </c:pt>
                <c:pt idx="25">
                  <c:v>Aug-28</c:v>
                </c:pt>
                <c:pt idx="26">
                  <c:v>Sep-28</c:v>
                </c:pt>
                <c:pt idx="27">
                  <c:v>Oct-28</c:v>
                </c:pt>
                <c:pt idx="28">
                  <c:v>Nov-28</c:v>
                </c:pt>
                <c:pt idx="29">
                  <c:v>Dec-28</c:v>
                </c:pt>
                <c:pt idx="30">
                  <c:v>Jan-29</c:v>
                </c:pt>
                <c:pt idx="31">
                  <c:v>Feb-29</c:v>
                </c:pt>
                <c:pt idx="32">
                  <c:v>Mar-29</c:v>
                </c:pt>
                <c:pt idx="33">
                  <c:v>Apr-29</c:v>
                </c:pt>
                <c:pt idx="34">
                  <c:v>May-29</c:v>
                </c:pt>
                <c:pt idx="35">
                  <c:v>Jun-29</c:v>
                </c:pt>
                <c:pt idx="36">
                  <c:v>Jul-29</c:v>
                </c:pt>
                <c:pt idx="37">
                  <c:v>Aug-29</c:v>
                </c:pt>
                <c:pt idx="38">
                  <c:v>Sep-29</c:v>
                </c:pt>
                <c:pt idx="39">
                  <c:v>Oct-29</c:v>
                </c:pt>
                <c:pt idx="40">
                  <c:v>Nov-29</c:v>
                </c:pt>
                <c:pt idx="41">
                  <c:v>Dec-29</c:v>
                </c:pt>
              </c:strCache>
            </c:strRef>
          </c:cat>
          <c:val>
            <c:numRef>
              <c:f>Model!$B$28:$AQ$28</c:f>
              <c:numCache>
                <c:formatCode>\€#,##0;"(€"#,##0\);\-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66360</c:v>
                </c:pt>
                <c:pt idx="7">
                  <c:v>75755.0217391304</c:v>
                </c:pt>
                <c:pt idx="8">
                  <c:v>95051.3757065217</c:v>
                </c:pt>
                <c:pt idx="9">
                  <c:v>114566.520750408</c:v>
                </c:pt>
                <c:pt idx="10">
                  <c:v>134291.285127036</c:v>
                </c:pt>
                <c:pt idx="11">
                  <c:v>154216.756568695</c:v>
                </c:pt>
                <c:pt idx="12">
                  <c:v>184753.406216388</c:v>
                </c:pt>
                <c:pt idx="13">
                  <c:v>215574.582272323</c:v>
                </c:pt>
                <c:pt idx="14">
                  <c:v>246667.607444715</c:v>
                </c:pt>
                <c:pt idx="15">
                  <c:v>278020.16812394</c:v>
                </c:pt>
                <c:pt idx="16">
                  <c:v>320665.52261045</c:v>
                </c:pt>
                <c:pt idx="17">
                  <c:v>363633.644343735</c:v>
                </c:pt>
                <c:pt idx="18">
                  <c:v>418267.329420729</c:v>
                </c:pt>
                <c:pt idx="19">
                  <c:v>473273.063557556</c:v>
                </c:pt>
                <c:pt idx="20">
                  <c:v>528632.241921891</c:v>
                </c:pt>
                <c:pt idx="21">
                  <c:v>584326.80621174</c:v>
                </c:pt>
                <c:pt idx="22">
                  <c:v>652323.578585577</c:v>
                </c:pt>
                <c:pt idx="23">
                  <c:v>720686.878533822</c:v>
                </c:pt>
                <c:pt idx="24">
                  <c:v>789396.492629575</c:v>
                </c:pt>
                <c:pt idx="25">
                  <c:v>858432.811829998</c:v>
                </c:pt>
                <c:pt idx="26">
                  <c:v>927776.816007897</c:v>
                </c:pt>
                <c:pt idx="27">
                  <c:v>1010177.01537646</c:v>
                </c:pt>
                <c:pt idx="28">
                  <c:v>1092896.63140719</c:v>
                </c:pt>
                <c:pt idx="29">
                  <c:v>1175915.005113</c:v>
                </c:pt>
                <c:pt idx="30">
                  <c:v>1258116.45856153</c:v>
                </c:pt>
                <c:pt idx="31">
                  <c:v>1339506.23504417</c:v>
                </c:pt>
                <c:pt idx="32">
                  <c:v>1420089.62409595</c:v>
                </c:pt>
                <c:pt idx="33">
                  <c:v>1499871.95840231</c:v>
                </c:pt>
                <c:pt idx="34">
                  <c:v>1578858.61080118</c:v>
                </c:pt>
                <c:pt idx="35">
                  <c:v>1657054.99137778</c:v>
                </c:pt>
                <c:pt idx="36">
                  <c:v>1734466.54464991</c:v>
                </c:pt>
                <c:pt idx="37">
                  <c:v>1811098.74684119</c:v>
                </c:pt>
                <c:pt idx="38">
                  <c:v>1886957.10324009</c:v>
                </c:pt>
                <c:pt idx="39">
                  <c:v>1962047.14564249</c:v>
                </c:pt>
                <c:pt idx="40">
                  <c:v>2036374.42987551</c:v>
                </c:pt>
                <c:pt idx="41">
                  <c:v>2109944.53340067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94876598"/>
        <c:axId val="21193534"/>
      </c:lineChart>
      <c:catAx>
        <c:axId val="94876598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1193534"/>
        <c:crosses val="autoZero"/>
        <c:auto val="1"/>
        <c:lblAlgn val="ctr"/>
        <c:lblOffset val="100"/>
        <c:noMultiLvlLbl val="0"/>
      </c:catAx>
      <c:valAx>
        <c:axId val="21193534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\€#,##0;&quot;(€&quot;#,##0\);\-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4876598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Total customers (monthly, expected value)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spPr>
            <a:solidFill>
              <a:srgbClr val="be4b48"/>
            </a:solidFill>
            <a:ln w="47520">
              <a:solidFill>
                <a:srgbClr val="be4b48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Model!$B$4:$AQ$4</c:f>
              <c:strCache>
                <c:ptCount val="42"/>
                <c:pt idx="0">
                  <c:v>Jul-26</c:v>
                </c:pt>
                <c:pt idx="1">
                  <c:v>Aug-26</c:v>
                </c:pt>
                <c:pt idx="2">
                  <c:v>Sep-26</c:v>
                </c:pt>
                <c:pt idx="3">
                  <c:v>Oct-26</c:v>
                </c:pt>
                <c:pt idx="4">
                  <c:v>Nov-26</c:v>
                </c:pt>
                <c:pt idx="5">
                  <c:v>Dec-26</c:v>
                </c:pt>
                <c:pt idx="6">
                  <c:v>Jan-27</c:v>
                </c:pt>
                <c:pt idx="7">
                  <c:v>Feb-27</c:v>
                </c:pt>
                <c:pt idx="8">
                  <c:v>Mar-27</c:v>
                </c:pt>
                <c:pt idx="9">
                  <c:v>Apr-27</c:v>
                </c:pt>
                <c:pt idx="10">
                  <c:v>May-27</c:v>
                </c:pt>
                <c:pt idx="11">
                  <c:v>Jun-27</c:v>
                </c:pt>
                <c:pt idx="12">
                  <c:v>Jul-27</c:v>
                </c:pt>
                <c:pt idx="13">
                  <c:v>Aug-27</c:v>
                </c:pt>
                <c:pt idx="14">
                  <c:v>Sep-27</c:v>
                </c:pt>
                <c:pt idx="15">
                  <c:v>Oct-27</c:v>
                </c:pt>
                <c:pt idx="16">
                  <c:v>Nov-27</c:v>
                </c:pt>
                <c:pt idx="17">
                  <c:v>Dec-27</c:v>
                </c:pt>
                <c:pt idx="18">
                  <c:v>Jan-28</c:v>
                </c:pt>
                <c:pt idx="19">
                  <c:v>Feb-28</c:v>
                </c:pt>
                <c:pt idx="20">
                  <c:v>Mar-28</c:v>
                </c:pt>
                <c:pt idx="21">
                  <c:v>Apr-28</c:v>
                </c:pt>
                <c:pt idx="22">
                  <c:v>May-28</c:v>
                </c:pt>
                <c:pt idx="23">
                  <c:v>Jun-28</c:v>
                </c:pt>
                <c:pt idx="24">
                  <c:v>Jul-28</c:v>
                </c:pt>
                <c:pt idx="25">
                  <c:v>Aug-28</c:v>
                </c:pt>
                <c:pt idx="26">
                  <c:v>Sep-28</c:v>
                </c:pt>
                <c:pt idx="27">
                  <c:v>Oct-28</c:v>
                </c:pt>
                <c:pt idx="28">
                  <c:v>Nov-28</c:v>
                </c:pt>
                <c:pt idx="29">
                  <c:v>Dec-28</c:v>
                </c:pt>
                <c:pt idx="30">
                  <c:v>Jan-29</c:v>
                </c:pt>
                <c:pt idx="31">
                  <c:v>Feb-29</c:v>
                </c:pt>
                <c:pt idx="32">
                  <c:v>Mar-29</c:v>
                </c:pt>
                <c:pt idx="33">
                  <c:v>Apr-29</c:v>
                </c:pt>
                <c:pt idx="34">
                  <c:v>May-29</c:v>
                </c:pt>
                <c:pt idx="35">
                  <c:v>Jun-29</c:v>
                </c:pt>
                <c:pt idx="36">
                  <c:v>Jul-29</c:v>
                </c:pt>
                <c:pt idx="37">
                  <c:v>Aug-29</c:v>
                </c:pt>
                <c:pt idx="38">
                  <c:v>Sep-29</c:v>
                </c:pt>
                <c:pt idx="39">
                  <c:v>Oct-29</c:v>
                </c:pt>
                <c:pt idx="40">
                  <c:v>Nov-29</c:v>
                </c:pt>
                <c:pt idx="41">
                  <c:v>Dec-29</c:v>
                </c:pt>
              </c:strCache>
            </c:strRef>
          </c:cat>
          <c:val>
            <c:numRef>
              <c:f>Model!$B$22:$AQ$22</c:f>
              <c:numCache>
                <c:formatCode>#,##0.0;\(#,##0.0\);\-</c:formatCode>
                <c:ptCount val="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</c:v>
                </c:pt>
                <c:pt idx="7">
                  <c:v>7.9125</c:v>
                </c:pt>
                <c:pt idx="8">
                  <c:v>9.81359375</c:v>
                </c:pt>
                <c:pt idx="9">
                  <c:v>11.690923828125</c:v>
                </c:pt>
                <c:pt idx="10">
                  <c:v>13.5447872802734</c:v>
                </c:pt>
                <c:pt idx="11">
                  <c:v>15.37547743927</c:v>
                </c:pt>
                <c:pt idx="12">
                  <c:v>18.1832839712791</c:v>
                </c:pt>
                <c:pt idx="13">
                  <c:v>20.9559929216382</c:v>
                </c:pt>
                <c:pt idx="14">
                  <c:v>23.6940430101177</c:v>
                </c:pt>
                <c:pt idx="15">
                  <c:v>26.3978674724912</c:v>
                </c:pt>
                <c:pt idx="16">
                  <c:v>30.0678941290851</c:v>
                </c:pt>
                <c:pt idx="17">
                  <c:v>33.6920454524715</c:v>
                </c:pt>
                <c:pt idx="18">
                  <c:v>38.2708948843156</c:v>
                </c:pt>
                <c:pt idx="19">
                  <c:v>42.7925086982617</c:v>
                </c:pt>
                <c:pt idx="20">
                  <c:v>47.2576023395334</c:v>
                </c:pt>
                <c:pt idx="21">
                  <c:v>51.6668823102892</c:v>
                </c:pt>
                <c:pt idx="22">
                  <c:v>57.0210462814106</c:v>
                </c:pt>
                <c:pt idx="23">
                  <c:v>62.308283202893</c:v>
                </c:pt>
                <c:pt idx="24">
                  <c:v>67.5294296628568</c:v>
                </c:pt>
                <c:pt idx="25">
                  <c:v>72.6853117920711</c:v>
                </c:pt>
                <c:pt idx="26">
                  <c:v>77.7767453946702</c:v>
                </c:pt>
                <c:pt idx="27">
                  <c:v>83.8045360772368</c:v>
                </c:pt>
                <c:pt idx="28">
                  <c:v>89.7569793762714</c:v>
                </c:pt>
                <c:pt idx="29">
                  <c:v>95.635017134068</c:v>
                </c:pt>
                <c:pt idx="30">
                  <c:v>101.439579419892</c:v>
                </c:pt>
                <c:pt idx="31">
                  <c:v>107.171584677143</c:v>
                </c:pt>
                <c:pt idx="32">
                  <c:v>112.831939868679</c:v>
                </c:pt>
                <c:pt idx="33">
                  <c:v>118.421540620321</c:v>
                </c:pt>
                <c:pt idx="34">
                  <c:v>123.941271362567</c:v>
                </c:pt>
                <c:pt idx="35">
                  <c:v>129.392005470535</c:v>
                </c:pt>
                <c:pt idx="36">
                  <c:v>134.774605402153</c:v>
                </c:pt>
                <c:pt idx="37">
                  <c:v>140.089922834626</c:v>
                </c:pt>
                <c:pt idx="38">
                  <c:v>145.338798799193</c:v>
                </c:pt>
                <c:pt idx="39">
                  <c:v>150.522063814203</c:v>
                </c:pt>
                <c:pt idx="40">
                  <c:v>155.640538016526</c:v>
                </c:pt>
                <c:pt idx="41">
                  <c:v>160.695031291319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29060584"/>
        <c:axId val="75047838"/>
      </c:lineChart>
      <c:catAx>
        <c:axId val="29060584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5047838"/>
        <c:crosses val="autoZero"/>
        <c:auto val="1"/>
        <c:lblAlgn val="ctr"/>
        <c:lblOffset val="100"/>
        <c:noMultiLvlLbl val="0"/>
      </c:catAx>
      <c:valAx>
        <c:axId val="75047838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.0;\(#,##0.0\);\-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9060584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Cash balance post-funding (€, monthly)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spPr>
            <a:solidFill>
              <a:srgbClr val="be4b48"/>
            </a:solidFill>
            <a:ln w="47520">
              <a:solidFill>
                <a:srgbClr val="be4b48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Model!$B$4:$AQ$4</c:f>
              <c:strCache>
                <c:ptCount val="42"/>
                <c:pt idx="0">
                  <c:v>Jul-26</c:v>
                </c:pt>
                <c:pt idx="1">
                  <c:v>Aug-26</c:v>
                </c:pt>
                <c:pt idx="2">
                  <c:v>Sep-26</c:v>
                </c:pt>
                <c:pt idx="3">
                  <c:v>Oct-26</c:v>
                </c:pt>
                <c:pt idx="4">
                  <c:v>Nov-26</c:v>
                </c:pt>
                <c:pt idx="5">
                  <c:v>Dec-26</c:v>
                </c:pt>
                <c:pt idx="6">
                  <c:v>Jan-27</c:v>
                </c:pt>
                <c:pt idx="7">
                  <c:v>Feb-27</c:v>
                </c:pt>
                <c:pt idx="8">
                  <c:v>Mar-27</c:v>
                </c:pt>
                <c:pt idx="9">
                  <c:v>Apr-27</c:v>
                </c:pt>
                <c:pt idx="10">
                  <c:v>May-27</c:v>
                </c:pt>
                <c:pt idx="11">
                  <c:v>Jun-27</c:v>
                </c:pt>
                <c:pt idx="12">
                  <c:v>Jul-27</c:v>
                </c:pt>
                <c:pt idx="13">
                  <c:v>Aug-27</c:v>
                </c:pt>
                <c:pt idx="14">
                  <c:v>Sep-27</c:v>
                </c:pt>
                <c:pt idx="15">
                  <c:v>Oct-27</c:v>
                </c:pt>
                <c:pt idx="16">
                  <c:v>Nov-27</c:v>
                </c:pt>
                <c:pt idx="17">
                  <c:v>Dec-27</c:v>
                </c:pt>
                <c:pt idx="18">
                  <c:v>Jan-28</c:v>
                </c:pt>
                <c:pt idx="19">
                  <c:v>Feb-28</c:v>
                </c:pt>
                <c:pt idx="20">
                  <c:v>Mar-28</c:v>
                </c:pt>
                <c:pt idx="21">
                  <c:v>Apr-28</c:v>
                </c:pt>
                <c:pt idx="22">
                  <c:v>May-28</c:v>
                </c:pt>
                <c:pt idx="23">
                  <c:v>Jun-28</c:v>
                </c:pt>
                <c:pt idx="24">
                  <c:v>Jul-28</c:v>
                </c:pt>
                <c:pt idx="25">
                  <c:v>Aug-28</c:v>
                </c:pt>
                <c:pt idx="26">
                  <c:v>Sep-28</c:v>
                </c:pt>
                <c:pt idx="27">
                  <c:v>Oct-28</c:v>
                </c:pt>
                <c:pt idx="28">
                  <c:v>Nov-28</c:v>
                </c:pt>
                <c:pt idx="29">
                  <c:v>Dec-28</c:v>
                </c:pt>
                <c:pt idx="30">
                  <c:v>Jan-29</c:v>
                </c:pt>
                <c:pt idx="31">
                  <c:v>Feb-29</c:v>
                </c:pt>
                <c:pt idx="32">
                  <c:v>Mar-29</c:v>
                </c:pt>
                <c:pt idx="33">
                  <c:v>Apr-29</c:v>
                </c:pt>
                <c:pt idx="34">
                  <c:v>May-29</c:v>
                </c:pt>
                <c:pt idx="35">
                  <c:v>Jun-29</c:v>
                </c:pt>
                <c:pt idx="36">
                  <c:v>Jul-29</c:v>
                </c:pt>
                <c:pt idx="37">
                  <c:v>Aug-29</c:v>
                </c:pt>
                <c:pt idx="38">
                  <c:v>Sep-29</c:v>
                </c:pt>
                <c:pt idx="39">
                  <c:v>Oct-29</c:v>
                </c:pt>
                <c:pt idx="40">
                  <c:v>Nov-29</c:v>
                </c:pt>
                <c:pt idx="41">
                  <c:v>Dec-29</c:v>
                </c:pt>
              </c:strCache>
            </c:strRef>
          </c:cat>
          <c:val>
            <c:numRef>
              <c:f>Model!$B$52:$AQ$52</c:f>
              <c:numCache>
                <c:formatCode>\€#,##0;"(€"#,##0\);\-</c:formatCode>
                <c:ptCount val="42"/>
                <c:pt idx="0">
                  <c:v>79159</c:v>
                </c:pt>
                <c:pt idx="1">
                  <c:v>68807</c:v>
                </c:pt>
                <c:pt idx="2">
                  <c:v>58699.5</c:v>
                </c:pt>
                <c:pt idx="3">
                  <c:v>48836.5</c:v>
                </c:pt>
                <c:pt idx="4">
                  <c:v>31678.9</c:v>
                </c:pt>
                <c:pt idx="5">
                  <c:v>14521.3</c:v>
                </c:pt>
                <c:pt idx="6">
                  <c:v>496755.732</c:v>
                </c:pt>
                <c:pt idx="7">
                  <c:v>473788.891184783</c:v>
                </c:pt>
                <c:pt idx="8">
                  <c:v>454549.330519538</c:v>
                </c:pt>
                <c:pt idx="9">
                  <c:v>436904.821244426</c:v>
                </c:pt>
                <c:pt idx="10">
                  <c:v>420872.757094528</c:v>
                </c:pt>
                <c:pt idx="11">
                  <c:v>406469.801583113</c:v>
                </c:pt>
                <c:pt idx="12">
                  <c:v>386957.56527611</c:v>
                </c:pt>
                <c:pt idx="13">
                  <c:v>369964.676798652</c:v>
                </c:pt>
                <c:pt idx="14">
                  <c:v>355513.749350706</c:v>
                </c:pt>
                <c:pt idx="15">
                  <c:v>343626.386854344</c:v>
                </c:pt>
                <c:pt idx="16">
                  <c:v>337492.637266331</c:v>
                </c:pt>
                <c:pt idx="17">
                  <c:v>334871.646454286</c:v>
                </c:pt>
                <c:pt idx="18">
                  <c:v>322963.376532211</c:v>
                </c:pt>
                <c:pt idx="19">
                  <c:v>315551.758205161</c:v>
                </c:pt>
                <c:pt idx="20">
                  <c:v>312666.343243957</c:v>
                </c:pt>
                <c:pt idx="21">
                  <c:v>314335.202341978</c:v>
                </c:pt>
                <c:pt idx="22">
                  <c:v>323918.975597962</c:v>
                </c:pt>
                <c:pt idx="23">
                  <c:v>339092.609750625</c:v>
                </c:pt>
                <c:pt idx="24">
                  <c:v>343227.586537082</c:v>
                </c:pt>
                <c:pt idx="25">
                  <c:v>353009.009172528</c:v>
                </c:pt>
                <c:pt idx="26">
                  <c:v>368462.804703179</c:v>
                </c:pt>
                <c:pt idx="27">
                  <c:v>393084.545297532</c:v>
                </c:pt>
                <c:pt idx="28">
                  <c:v>424472.079738147</c:v>
                </c:pt>
                <c:pt idx="29">
                  <c:v>462650.738928687</c:v>
                </c:pt>
                <c:pt idx="30">
                  <c:v>502336.943408109</c:v>
                </c:pt>
                <c:pt idx="31">
                  <c:v>548580.752201471</c:v>
                </c:pt>
                <c:pt idx="32">
                  <c:v>597922.173359817</c:v>
                </c:pt>
                <c:pt idx="33">
                  <c:v>639337.754439838</c:v>
                </c:pt>
                <c:pt idx="34">
                  <c:v>685208.521727155</c:v>
                </c:pt>
                <c:pt idx="35">
                  <c:v>735490.027743209</c:v>
                </c:pt>
                <c:pt idx="36">
                  <c:v>790138.12765007</c:v>
                </c:pt>
                <c:pt idx="37">
                  <c:v>849108.981158868</c:v>
                </c:pt>
                <c:pt idx="38">
                  <c:v>912359.054286311</c:v>
                </c:pt>
                <c:pt idx="39">
                  <c:v>979845.120964072</c:v>
                </c:pt>
                <c:pt idx="40">
                  <c:v>1051524.2645057</c:v>
                </c:pt>
                <c:pt idx="41">
                  <c:v>1127353.87893557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49886245"/>
        <c:axId val="6482798"/>
      </c:lineChart>
      <c:catAx>
        <c:axId val="49886245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482798"/>
        <c:crosses val="autoZero"/>
        <c:auto val="1"/>
        <c:lblAlgn val="ctr"/>
        <c:lblOffset val="100"/>
        <c:noMultiLvlLbl val="0"/>
      </c:catAx>
      <c:valAx>
        <c:axId val="6482798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\€#,##0;&quot;(€&quot;#,##0\);\-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9886245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34</xdr:row>
      <xdr:rowOff>160560</xdr:rowOff>
    </xdr:from>
    <xdr:to>
      <xdr:col>7</xdr:col>
      <xdr:colOff>227160</xdr:colOff>
      <xdr:row>49</xdr:row>
      <xdr:rowOff>2880</xdr:rowOff>
    </xdr:to>
    <xdr:graphicFrame>
      <xdr:nvGraphicFramePr>
        <xdr:cNvPr id="0" name="Chart 1"/>
        <xdr:cNvGraphicFramePr/>
      </xdr:nvGraphicFramePr>
      <xdr:xfrm>
        <a:off x="0" y="6667560"/>
        <a:ext cx="8639640" cy="269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51</xdr:row>
      <xdr:rowOff>160920</xdr:rowOff>
    </xdr:from>
    <xdr:to>
      <xdr:col>7</xdr:col>
      <xdr:colOff>227160</xdr:colOff>
      <xdr:row>66</xdr:row>
      <xdr:rowOff>2880</xdr:rowOff>
    </xdr:to>
    <xdr:graphicFrame>
      <xdr:nvGraphicFramePr>
        <xdr:cNvPr id="1" name="Chart 2"/>
        <xdr:cNvGraphicFramePr/>
      </xdr:nvGraphicFramePr>
      <xdr:xfrm>
        <a:off x="0" y="9906120"/>
        <a:ext cx="8639640" cy="269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68</xdr:row>
      <xdr:rowOff>160920</xdr:rowOff>
    </xdr:from>
    <xdr:to>
      <xdr:col>7</xdr:col>
      <xdr:colOff>227160</xdr:colOff>
      <xdr:row>83</xdr:row>
      <xdr:rowOff>2880</xdr:rowOff>
    </xdr:to>
    <xdr:graphicFrame>
      <xdr:nvGraphicFramePr>
        <xdr:cNvPr id="2" name="Chart 3"/>
        <xdr:cNvGraphicFramePr/>
      </xdr:nvGraphicFramePr>
      <xdr:xfrm>
        <a:off x="0" y="13144680"/>
        <a:ext cx="8639640" cy="269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6"/>
    <col collapsed="false" customWidth="true" hidden="false" outlineLevel="0" max="7" min="2" style="0" width="14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3" t="s">
        <v>2</v>
      </c>
      <c r="B3" s="4" t="s">
        <v>3</v>
      </c>
      <c r="C3" s="5" t="s">
        <v>4</v>
      </c>
      <c r="D3" s="6" t="s">
        <v>5</v>
      </c>
      <c r="E3" s="7" t="s">
        <v>6</v>
      </c>
    </row>
    <row r="5" customFormat="false" ht="15" hidden="false" customHeight="false" outlineLevel="0" collapsed="false">
      <c r="A5" s="8" t="s">
        <v>7</v>
      </c>
    </row>
    <row r="6" customFormat="false" ht="15" hidden="false" customHeight="false" outlineLevel="0" collapsed="false">
      <c r="A6" s="3" t="s">
        <v>8</v>
      </c>
      <c r="B6" s="9" t="n">
        <v>2</v>
      </c>
      <c r="C6" s="3" t="str">
        <f aca="false">INDEX(C8:F8,B6)</f>
        <v>Base (self-funded)</v>
      </c>
    </row>
    <row r="8" customFormat="false" ht="15" hidden="false" customHeight="false" outlineLevel="0" collapsed="false">
      <c r="B8" s="10" t="s">
        <v>9</v>
      </c>
      <c r="C8" s="10" t="s">
        <v>10</v>
      </c>
      <c r="D8" s="10" t="s">
        <v>11</v>
      </c>
      <c r="E8" s="10" t="s">
        <v>12</v>
      </c>
      <c r="F8" s="10" t="s">
        <v>13</v>
      </c>
      <c r="G8" s="10" t="s">
        <v>14</v>
      </c>
    </row>
    <row r="9" customFormat="false" ht="15" hidden="false" customHeight="false" outlineLevel="0" collapsed="false">
      <c r="A9" s="5" t="s">
        <v>15</v>
      </c>
      <c r="C9" s="11" t="n">
        <v>0.6</v>
      </c>
      <c r="D9" s="11" t="n">
        <v>1</v>
      </c>
      <c r="E9" s="11" t="n">
        <v>1.5</v>
      </c>
      <c r="F9" s="11" t="n">
        <v>1.05</v>
      </c>
      <c r="G9" s="12" t="n">
        <f aca="false">INDEX(C9:F9,$B$6)</f>
        <v>1</v>
      </c>
    </row>
    <row r="10" customFormat="false" ht="15" hidden="false" customHeight="false" outlineLevel="0" collapsed="false">
      <c r="A10" s="5" t="s">
        <v>16</v>
      </c>
      <c r="C10" s="13" t="n">
        <v>0.5</v>
      </c>
      <c r="D10" s="13" t="n">
        <v>0.75</v>
      </c>
      <c r="E10" s="13" t="n">
        <v>0.85</v>
      </c>
      <c r="F10" s="13" t="n">
        <v>0.85</v>
      </c>
      <c r="G10" s="14" t="n">
        <f aca="false">INDEX(C10:F10,$B$6)</f>
        <v>0.75</v>
      </c>
    </row>
    <row r="11" customFormat="false" ht="15" hidden="false" customHeight="false" outlineLevel="0" collapsed="false">
      <c r="A11" s="5" t="s">
        <v>17</v>
      </c>
      <c r="C11" s="15" t="n">
        <v>0.02</v>
      </c>
      <c r="D11" s="15" t="n">
        <v>0.0125</v>
      </c>
      <c r="E11" s="15" t="n">
        <v>0.01</v>
      </c>
      <c r="F11" s="15" t="n">
        <v>0.0075</v>
      </c>
      <c r="G11" s="16" t="n">
        <f aca="false">INDEX(C11:F11,$B$6)</f>
        <v>0.0125</v>
      </c>
    </row>
    <row r="12" customFormat="false" ht="15" hidden="false" customHeight="false" outlineLevel="0" collapsed="false">
      <c r="A12" s="5" t="s">
        <v>18</v>
      </c>
      <c r="C12" s="13" t="n">
        <v>0.25</v>
      </c>
      <c r="D12" s="13" t="n">
        <v>0.3</v>
      </c>
      <c r="E12" s="13" t="n">
        <v>0.35</v>
      </c>
      <c r="F12" s="13" t="n">
        <v>0.5</v>
      </c>
      <c r="G12" s="14" t="n">
        <f aca="false">INDEX(C12:F12,$B$6)</f>
        <v>0.3</v>
      </c>
    </row>
    <row r="13" customFormat="false" ht="15" hidden="false" customHeight="false" outlineLevel="0" collapsed="false">
      <c r="A13" s="5" t="s">
        <v>19</v>
      </c>
      <c r="C13" s="13" t="n">
        <v>0.45</v>
      </c>
      <c r="D13" s="13" t="n">
        <v>0.6</v>
      </c>
      <c r="E13" s="13" t="n">
        <v>0.75</v>
      </c>
      <c r="F13" s="13" t="n">
        <v>1</v>
      </c>
      <c r="G13" s="14" t="n">
        <f aca="false">INDEX(C13:F13,$B$6)</f>
        <v>0.6</v>
      </c>
    </row>
    <row r="14" customFormat="false" ht="15" hidden="false" customHeight="false" outlineLevel="0" collapsed="false">
      <c r="A14" s="5" t="s">
        <v>20</v>
      </c>
      <c r="C14" s="15" t="n">
        <v>0.005</v>
      </c>
      <c r="D14" s="15" t="n">
        <v>0.01</v>
      </c>
      <c r="E14" s="15" t="n">
        <v>0.015</v>
      </c>
      <c r="F14" s="15" t="n">
        <v>0.04</v>
      </c>
      <c r="G14" s="16" t="n">
        <f aca="false">INDEX(C14:F14,$B$6)</f>
        <v>0.01</v>
      </c>
    </row>
    <row r="15" customFormat="false" ht="15" hidden="false" customHeight="false" outlineLevel="0" collapsed="false">
      <c r="A15" s="5" t="s">
        <v>21</v>
      </c>
      <c r="C15" s="11" t="n">
        <v>0.7</v>
      </c>
      <c r="D15" s="11" t="n">
        <v>1</v>
      </c>
      <c r="E15" s="11" t="n">
        <v>1.6</v>
      </c>
      <c r="F15" s="11" t="n">
        <v>1.2</v>
      </c>
      <c r="G15" s="12" t="n">
        <f aca="false">INDEX(C15:F15,$B$6)</f>
        <v>1</v>
      </c>
    </row>
    <row r="16" customFormat="false" ht="15" hidden="false" customHeight="false" outlineLevel="0" collapsed="false">
      <c r="A16" s="5" t="s">
        <v>22</v>
      </c>
      <c r="C16" s="17" t="n">
        <v>6</v>
      </c>
      <c r="D16" s="17" t="n">
        <v>0</v>
      </c>
      <c r="E16" s="17" t="n">
        <v>0</v>
      </c>
      <c r="F16" s="17" t="n">
        <v>0</v>
      </c>
      <c r="G16" s="18" t="n">
        <f aca="false">INDEX(C16:F16,$B$6)</f>
        <v>0</v>
      </c>
    </row>
    <row r="17" customFormat="false" ht="15" hidden="false" customHeight="false" outlineLevel="0" collapsed="false">
      <c r="A17" s="19" t="s">
        <v>23</v>
      </c>
    </row>
    <row r="18" customFormat="false" ht="15" hidden="false" customHeight="false" outlineLevel="0" collapsed="false">
      <c r="A18" s="8" t="s">
        <v>24</v>
      </c>
    </row>
    <row r="19" customFormat="false" ht="15" hidden="false" customHeight="false" outlineLevel="0" collapsed="false">
      <c r="A19" s="5" t="s">
        <v>25</v>
      </c>
      <c r="B19" s="20" t="n">
        <v>490</v>
      </c>
    </row>
    <row r="20" customFormat="false" ht="15" hidden="false" customHeight="false" outlineLevel="0" collapsed="false">
      <c r="A20" s="5" t="s">
        <v>26</v>
      </c>
      <c r="B20" s="20" t="n">
        <v>1490</v>
      </c>
    </row>
    <row r="21" customFormat="false" ht="15" hidden="false" customHeight="false" outlineLevel="0" collapsed="false">
      <c r="A21" s="5" t="s">
        <v>27</v>
      </c>
      <c r="B21" s="20" t="n">
        <v>250</v>
      </c>
    </row>
    <row r="22" customFormat="false" ht="15" hidden="false" customHeight="false" outlineLevel="0" collapsed="false">
      <c r="A22" s="5" t="s">
        <v>28</v>
      </c>
      <c r="B22" s="20" t="n">
        <v>2500</v>
      </c>
    </row>
    <row r="23" customFormat="false" ht="15" hidden="false" customHeight="false" outlineLevel="0" collapsed="false">
      <c r="A23" s="5" t="s">
        <v>29</v>
      </c>
      <c r="B23" s="20" t="n">
        <v>5000</v>
      </c>
    </row>
    <row r="24" customFormat="false" ht="15" hidden="false" customHeight="false" outlineLevel="0" collapsed="false">
      <c r="A24" s="5" t="s">
        <v>30</v>
      </c>
      <c r="B24" s="20" t="n">
        <v>1000</v>
      </c>
    </row>
    <row r="26" customFormat="false" ht="15" hidden="false" customHeight="false" outlineLevel="0" collapsed="false">
      <c r="A26" s="8" t="s">
        <v>31</v>
      </c>
    </row>
    <row r="27" customFormat="false" ht="15" hidden="false" customHeight="false" outlineLevel="0" collapsed="false">
      <c r="A27" s="5" t="s">
        <v>32</v>
      </c>
      <c r="B27" s="11" t="n">
        <v>1.22</v>
      </c>
    </row>
    <row r="28" customFormat="false" ht="15" hidden="false" customHeight="false" outlineLevel="0" collapsed="false">
      <c r="A28" s="5" t="s">
        <v>33</v>
      </c>
      <c r="B28" s="13" t="n">
        <v>0.03</v>
      </c>
    </row>
    <row r="29" customFormat="false" ht="15" hidden="false" customHeight="false" outlineLevel="0" collapsed="false">
      <c r="A29" s="5" t="s">
        <v>34</v>
      </c>
      <c r="B29" s="20" t="n">
        <v>400</v>
      </c>
    </row>
    <row r="30" customFormat="false" ht="15" hidden="false" customHeight="false" outlineLevel="0" collapsed="false">
      <c r="A30" s="5" t="s">
        <v>35</v>
      </c>
      <c r="B30" s="20" t="n">
        <v>12</v>
      </c>
    </row>
    <row r="31" customFormat="false" ht="15" hidden="false" customHeight="false" outlineLevel="0" collapsed="false">
      <c r="A31" s="5" t="s">
        <v>36</v>
      </c>
      <c r="B31" s="20" t="n">
        <v>600</v>
      </c>
    </row>
    <row r="32" customFormat="false" ht="15" hidden="false" customHeight="false" outlineLevel="0" collapsed="false">
      <c r="A32" s="5" t="s">
        <v>37</v>
      </c>
      <c r="B32" s="20" t="n">
        <v>1200</v>
      </c>
    </row>
    <row r="33" customFormat="false" ht="15" hidden="false" customHeight="false" outlineLevel="0" collapsed="false">
      <c r="A33" s="5" t="s">
        <v>38</v>
      </c>
      <c r="B33" s="20" t="n">
        <v>800</v>
      </c>
    </row>
    <row r="34" customFormat="false" ht="15" hidden="false" customHeight="false" outlineLevel="0" collapsed="false">
      <c r="A34" s="5" t="s">
        <v>39</v>
      </c>
      <c r="B34" s="13" t="n">
        <v>0.02</v>
      </c>
    </row>
    <row r="35" customFormat="false" ht="15" hidden="false" customHeight="false" outlineLevel="0" collapsed="false">
      <c r="A35" s="5" t="s">
        <v>40</v>
      </c>
      <c r="B35" s="13" t="n">
        <v>0.1</v>
      </c>
    </row>
    <row r="36" customFormat="false" ht="15" hidden="false" customHeight="false" outlineLevel="0" collapsed="false">
      <c r="A36" s="5" t="s">
        <v>41</v>
      </c>
      <c r="B36" s="13" t="n">
        <v>0.1</v>
      </c>
    </row>
    <row r="37" customFormat="false" ht="15" hidden="false" customHeight="false" outlineLevel="0" collapsed="false">
      <c r="A37" s="5" t="s">
        <v>42</v>
      </c>
      <c r="B37" s="13" t="n">
        <v>0.3</v>
      </c>
    </row>
    <row r="39" customFormat="false" ht="15" hidden="false" customHeight="false" outlineLevel="0" collapsed="false">
      <c r="A39" s="3" t="s">
        <v>43</v>
      </c>
      <c r="B39" s="21" t="n">
        <v>2026</v>
      </c>
      <c r="C39" s="21" t="n">
        <v>2027</v>
      </c>
      <c r="D39" s="21" t="n">
        <v>2028</v>
      </c>
      <c r="E39" s="21" t="n">
        <v>2029</v>
      </c>
    </row>
    <row r="40" customFormat="false" ht="15" hidden="false" customHeight="false" outlineLevel="0" collapsed="false">
      <c r="B40" s="20" t="n">
        <v>2000</v>
      </c>
      <c r="C40" s="20" t="n">
        <v>6000</v>
      </c>
      <c r="D40" s="20" t="n">
        <v>9000</v>
      </c>
      <c r="E40" s="20" t="n">
        <v>12000</v>
      </c>
    </row>
    <row r="41" customFormat="false" ht="15" hidden="false" customHeight="false" outlineLevel="0" collapsed="false">
      <c r="A41" s="19" t="s">
        <v>44</v>
      </c>
    </row>
    <row r="43" customFormat="false" ht="15" hidden="false" customHeight="false" outlineLevel="0" collapsed="false">
      <c r="A43" s="8" t="s">
        <v>45</v>
      </c>
    </row>
    <row r="44" customFormat="false" ht="15" hidden="false" customHeight="false" outlineLevel="0" collapsed="false">
      <c r="A44" s="10" t="s">
        <v>46</v>
      </c>
      <c r="B44" s="10" t="s">
        <v>47</v>
      </c>
      <c r="C44" s="10" t="s">
        <v>48</v>
      </c>
      <c r="D44" s="10" t="s">
        <v>49</v>
      </c>
      <c r="E44" s="10" t="s">
        <v>50</v>
      </c>
      <c r="F44" s="10" t="s">
        <v>51</v>
      </c>
      <c r="G44" s="10" t="s">
        <v>52</v>
      </c>
    </row>
    <row r="45" customFormat="false" ht="15" hidden="false" customHeight="false" outlineLevel="0" collapsed="false">
      <c r="A45" s="5" t="s">
        <v>53</v>
      </c>
      <c r="B45" s="20" t="n">
        <v>5000</v>
      </c>
      <c r="C45" s="22" t="n">
        <v>46204</v>
      </c>
      <c r="D45" s="23" t="n">
        <f aca="false">B45*$B$27*12</f>
        <v>73200</v>
      </c>
      <c r="E45" s="17" t="n">
        <v>0</v>
      </c>
      <c r="F45" s="17" t="n">
        <v>0</v>
      </c>
      <c r="G45" s="17" t="n">
        <v>1</v>
      </c>
    </row>
    <row r="46" customFormat="false" ht="15" hidden="false" customHeight="false" outlineLevel="0" collapsed="false">
      <c r="A46" s="5" t="s">
        <v>54</v>
      </c>
      <c r="B46" s="20" t="n">
        <v>2500</v>
      </c>
      <c r="C46" s="22" t="n">
        <v>46753</v>
      </c>
      <c r="D46" s="23" t="n">
        <f aca="false">B46*$B$27*12</f>
        <v>36600</v>
      </c>
      <c r="E46" s="17" t="n">
        <v>0</v>
      </c>
      <c r="F46" s="17" t="n">
        <v>0</v>
      </c>
      <c r="G46" s="17" t="n">
        <v>0</v>
      </c>
    </row>
    <row r="47" customFormat="false" ht="15" hidden="false" customHeight="false" outlineLevel="0" collapsed="false">
      <c r="A47" s="5" t="s">
        <v>55</v>
      </c>
      <c r="B47" s="20" t="n">
        <v>5800</v>
      </c>
      <c r="C47" s="22" t="n">
        <v>46327</v>
      </c>
      <c r="D47" s="23" t="n">
        <f aca="false">B47*$B$27*12</f>
        <v>84912</v>
      </c>
      <c r="E47" s="17" t="n">
        <v>0</v>
      </c>
      <c r="F47" s="17" t="n">
        <v>1</v>
      </c>
      <c r="G47" s="17" t="n">
        <v>1</v>
      </c>
    </row>
    <row r="48" customFormat="false" ht="15" hidden="false" customHeight="false" outlineLevel="0" collapsed="false">
      <c r="A48" s="5" t="s">
        <v>56</v>
      </c>
      <c r="B48" s="20" t="n">
        <v>4600</v>
      </c>
      <c r="C48" s="22" t="n">
        <v>46419</v>
      </c>
      <c r="D48" s="23" t="n">
        <f aca="false">B48*$B$27*12</f>
        <v>67344</v>
      </c>
      <c r="E48" s="17" t="n">
        <v>1</v>
      </c>
      <c r="F48" s="17" t="n">
        <v>0</v>
      </c>
      <c r="G48" s="17" t="n">
        <v>1</v>
      </c>
    </row>
    <row r="49" customFormat="false" ht="15" hidden="false" customHeight="false" outlineLevel="0" collapsed="false">
      <c r="A49" s="5" t="s">
        <v>57</v>
      </c>
      <c r="B49" s="20" t="n">
        <v>7100</v>
      </c>
      <c r="C49" s="22" t="n">
        <v>46569</v>
      </c>
      <c r="D49" s="23" t="n">
        <f aca="false">B49*$B$27*12</f>
        <v>103944</v>
      </c>
      <c r="E49" s="17" t="n">
        <v>0</v>
      </c>
      <c r="F49" s="17" t="n">
        <v>0</v>
      </c>
      <c r="G49" s="17" t="n">
        <v>1</v>
      </c>
    </row>
    <row r="50" customFormat="false" ht="15" hidden="false" customHeight="false" outlineLevel="0" collapsed="false">
      <c r="A50" s="5" t="s">
        <v>58</v>
      </c>
      <c r="B50" s="20" t="n">
        <v>5800</v>
      </c>
      <c r="C50" s="22" t="n">
        <v>46753</v>
      </c>
      <c r="D50" s="23" t="n">
        <f aca="false">B50*$B$27*12</f>
        <v>84912</v>
      </c>
      <c r="E50" s="17" t="n">
        <v>0</v>
      </c>
      <c r="F50" s="17" t="n">
        <v>1</v>
      </c>
      <c r="G50" s="17" t="n">
        <v>1</v>
      </c>
    </row>
    <row r="51" customFormat="false" ht="15" hidden="false" customHeight="false" outlineLevel="0" collapsed="false">
      <c r="A51" s="5" t="s">
        <v>59</v>
      </c>
      <c r="B51" s="20" t="n">
        <v>4600</v>
      </c>
      <c r="C51" s="22" t="n">
        <v>46935</v>
      </c>
      <c r="D51" s="23" t="n">
        <f aca="false">B51*$B$27*12</f>
        <v>67344</v>
      </c>
      <c r="E51" s="17" t="n">
        <v>1</v>
      </c>
      <c r="F51" s="17" t="n">
        <v>0</v>
      </c>
      <c r="G51" s="17" t="n">
        <v>1</v>
      </c>
    </row>
    <row r="52" customFormat="false" ht="15" hidden="false" customHeight="false" outlineLevel="0" collapsed="false">
      <c r="A52" s="5" t="s">
        <v>60</v>
      </c>
      <c r="B52" s="20" t="n">
        <v>7100</v>
      </c>
      <c r="C52" s="22" t="n">
        <v>46935</v>
      </c>
      <c r="D52" s="23" t="n">
        <f aca="false">B52*$B$27*12</f>
        <v>103944</v>
      </c>
      <c r="E52" s="17" t="n">
        <v>0</v>
      </c>
      <c r="F52" s="17" t="n">
        <v>0</v>
      </c>
      <c r="G52" s="17" t="n">
        <v>1</v>
      </c>
    </row>
    <row r="53" customFormat="false" ht="15" hidden="false" customHeight="false" outlineLevel="0" collapsed="false">
      <c r="A53" s="19" t="s">
        <v>61</v>
      </c>
    </row>
    <row r="54" customFormat="false" ht="15" hidden="false" customHeight="false" outlineLevel="0" collapsed="false">
      <c r="A54" s="8" t="s">
        <v>62</v>
      </c>
    </row>
    <row r="55" customFormat="false" ht="15" hidden="false" customHeight="false" outlineLevel="0" collapsed="false">
      <c r="A55" s="5" t="s">
        <v>63</v>
      </c>
      <c r="B55" s="24" t="n">
        <v>500000</v>
      </c>
    </row>
    <row r="56" customFormat="false" ht="15" hidden="false" customHeight="false" outlineLevel="0" collapsed="false">
      <c r="A56" s="5" t="s">
        <v>64</v>
      </c>
      <c r="B56" s="22" t="n">
        <v>46388</v>
      </c>
    </row>
    <row r="57" customFormat="false" ht="15" hidden="false" customHeight="false" outlineLevel="0" collapsed="false">
      <c r="A57" s="5" t="s">
        <v>65</v>
      </c>
      <c r="B57" s="20" t="n">
        <v>90000</v>
      </c>
    </row>
    <row r="58" customFormat="false" ht="15" hidden="false" customHeight="false" outlineLevel="0" collapsed="false">
      <c r="A58" s="5" t="s">
        <v>66</v>
      </c>
      <c r="B58" s="25" t="n">
        <f aca="false">-MIN(Model!B48:AQ48)</f>
        <v>277333.656756044</v>
      </c>
    </row>
    <row r="59" customFormat="false" ht="15" hidden="false" customHeight="false" outlineLevel="0" collapsed="false">
      <c r="A59" s="5" t="s">
        <v>67</v>
      </c>
      <c r="B59" s="25" t="n">
        <f aca="false">MIN(Model!B52:AQ52)</f>
        <v>14521.3</v>
      </c>
    </row>
    <row r="60" customFormat="false" ht="15" hidden="false" customHeight="false" outlineLevel="0" collapsed="false">
      <c r="A60" s="19" t="s">
        <v>68</v>
      </c>
    </row>
    <row r="62" customFormat="false" ht="15" hidden="false" customHeight="false" outlineLevel="0" collapsed="false">
      <c r="A62" s="8" t="s">
        <v>69</v>
      </c>
    </row>
    <row r="63" customFormat="false" ht="15" hidden="false" customHeight="false" outlineLevel="0" collapsed="false">
      <c r="A63" s="5" t="s">
        <v>70</v>
      </c>
      <c r="B63" s="17" t="n">
        <v>40</v>
      </c>
    </row>
    <row r="64" customFormat="false" ht="15" hidden="false" customHeight="false" outlineLevel="0" collapsed="false">
      <c r="A64" s="5" t="s">
        <v>71</v>
      </c>
      <c r="B64" s="13" t="n">
        <v>0.3</v>
      </c>
    </row>
    <row r="65" customFormat="false" ht="15" hidden="false" customHeight="false" outlineLevel="0" collapsed="false">
      <c r="A65" s="5" t="s">
        <v>72</v>
      </c>
      <c r="B65" s="13" t="n">
        <v>0.25</v>
      </c>
    </row>
    <row r="66" customFormat="false" ht="15" hidden="false" customHeight="false" outlineLevel="0" collapsed="false">
      <c r="A66" s="5" t="s">
        <v>73</v>
      </c>
      <c r="B66" s="12" t="n">
        <f aca="false">B63*B64*B65</f>
        <v>3</v>
      </c>
    </row>
    <row r="67" customFormat="false" ht="15" hidden="false" customHeight="false" outlineLevel="0" collapsed="false">
      <c r="A67" s="19" t="s">
        <v>74</v>
      </c>
    </row>
    <row r="69" customFormat="false" ht="15" hidden="false" customHeight="false" outlineLevel="0" collapsed="false">
      <c r="A69" s="8" t="s">
        <v>75</v>
      </c>
    </row>
    <row r="70" customFormat="false" ht="15" hidden="false" customHeight="false" outlineLevel="0" collapsed="false">
      <c r="A70" s="5" t="s">
        <v>76</v>
      </c>
      <c r="B70" s="17" t="n">
        <v>48</v>
      </c>
    </row>
    <row r="72" customFormat="false" ht="15" hidden="false" customHeight="false" outlineLevel="0" collapsed="false">
      <c r="A72" s="8" t="s">
        <v>77</v>
      </c>
    </row>
    <row r="73" customFormat="false" ht="15" hidden="false" customHeight="false" outlineLevel="0" collapsed="false">
      <c r="A73" s="19" t="s">
        <v>78</v>
      </c>
    </row>
  </sheetData>
  <dataValidations count="1">
    <dataValidation allowBlank="false" errorStyle="stop" operator="between" showDropDown="false" showErrorMessage="false" showInputMessage="false" sqref="B6" type="list">
      <formula1>"1,2,3,4"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Q5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43" min="2" style="0" width="10"/>
  </cols>
  <sheetData>
    <row r="1" customFormat="false" ht="17.35" hidden="false" customHeight="false" outlineLevel="0" collapsed="false">
      <c r="A1" s="1" t="s">
        <v>79</v>
      </c>
    </row>
    <row r="2" customFormat="false" ht="15" hidden="false" customHeight="false" outlineLevel="0" collapsed="false">
      <c r="A2" s="2" t="str">
        <f aca="false">"Scenario: "&amp;Assumptions!C6&amp;"  ·  ENTWURF/DRAFT · net of USt"</f>
        <v>Scenario: Base (self-funded)  ·  ENTWURF/DRAFT · net of USt</v>
      </c>
    </row>
    <row r="4" customFormat="false" ht="15" hidden="false" customHeight="false" outlineLevel="0" collapsed="false">
      <c r="A4" s="3" t="s">
        <v>80</v>
      </c>
      <c r="B4" s="26" t="n">
        <v>46204</v>
      </c>
      <c r="C4" s="26" t="n">
        <v>46235</v>
      </c>
      <c r="D4" s="26" t="n">
        <v>46266</v>
      </c>
      <c r="E4" s="26" t="n">
        <v>46296</v>
      </c>
      <c r="F4" s="26" t="n">
        <v>46327</v>
      </c>
      <c r="G4" s="26" t="n">
        <v>46357</v>
      </c>
      <c r="H4" s="26" t="n">
        <v>46388</v>
      </c>
      <c r="I4" s="26" t="n">
        <v>46419</v>
      </c>
      <c r="J4" s="26" t="n">
        <v>46447</v>
      </c>
      <c r="K4" s="26" t="n">
        <v>46478</v>
      </c>
      <c r="L4" s="26" t="n">
        <v>46508</v>
      </c>
      <c r="M4" s="26" t="n">
        <v>46539</v>
      </c>
      <c r="N4" s="26" t="n">
        <v>46569</v>
      </c>
      <c r="O4" s="26" t="n">
        <v>46600</v>
      </c>
      <c r="P4" s="26" t="n">
        <v>46631</v>
      </c>
      <c r="Q4" s="26" t="n">
        <v>46661</v>
      </c>
      <c r="R4" s="26" t="n">
        <v>46692</v>
      </c>
      <c r="S4" s="26" t="n">
        <v>46722</v>
      </c>
      <c r="T4" s="26" t="n">
        <v>46753</v>
      </c>
      <c r="U4" s="26" t="n">
        <v>46784</v>
      </c>
      <c r="V4" s="26" t="n">
        <v>46813</v>
      </c>
      <c r="W4" s="26" t="n">
        <v>46844</v>
      </c>
      <c r="X4" s="26" t="n">
        <v>46874</v>
      </c>
      <c r="Y4" s="26" t="n">
        <v>46905</v>
      </c>
      <c r="Z4" s="26" t="n">
        <v>46935</v>
      </c>
      <c r="AA4" s="26" t="n">
        <v>46966</v>
      </c>
      <c r="AB4" s="26" t="n">
        <v>46997</v>
      </c>
      <c r="AC4" s="26" t="n">
        <v>47027</v>
      </c>
      <c r="AD4" s="26" t="n">
        <v>47058</v>
      </c>
      <c r="AE4" s="26" t="n">
        <v>47088</v>
      </c>
      <c r="AF4" s="26" t="n">
        <v>47119</v>
      </c>
      <c r="AG4" s="26" t="n">
        <v>47150</v>
      </c>
      <c r="AH4" s="26" t="n">
        <v>47178</v>
      </c>
      <c r="AI4" s="26" t="n">
        <v>47209</v>
      </c>
      <c r="AJ4" s="26" t="n">
        <v>47239</v>
      </c>
      <c r="AK4" s="26" t="n">
        <v>47270</v>
      </c>
      <c r="AL4" s="26" t="n">
        <v>47300</v>
      </c>
      <c r="AM4" s="26" t="n">
        <v>47331</v>
      </c>
      <c r="AN4" s="26" t="n">
        <v>47362</v>
      </c>
      <c r="AO4" s="26" t="n">
        <v>47392</v>
      </c>
      <c r="AP4" s="26" t="n">
        <v>47423</v>
      </c>
      <c r="AQ4" s="26" t="n">
        <v>47453</v>
      </c>
    </row>
    <row r="5" customFormat="false" ht="15" hidden="false" customHeight="false" outlineLevel="0" collapsed="false">
      <c r="A5" s="3" t="s">
        <v>81</v>
      </c>
      <c r="B5" s="27" t="n">
        <f aca="false">YEAR(B4)</f>
        <v>2026</v>
      </c>
      <c r="C5" s="27" t="n">
        <f aca="false">YEAR(C4)</f>
        <v>2026</v>
      </c>
      <c r="D5" s="27" t="n">
        <f aca="false">YEAR(D4)</f>
        <v>2026</v>
      </c>
      <c r="E5" s="27" t="n">
        <f aca="false">YEAR(E4)</f>
        <v>2026</v>
      </c>
      <c r="F5" s="27" t="n">
        <f aca="false">YEAR(F4)</f>
        <v>2026</v>
      </c>
      <c r="G5" s="27" t="n">
        <f aca="false">YEAR(G4)</f>
        <v>2026</v>
      </c>
      <c r="H5" s="27" t="n">
        <f aca="false">YEAR(H4)</f>
        <v>2027</v>
      </c>
      <c r="I5" s="27" t="n">
        <f aca="false">YEAR(I4)</f>
        <v>2027</v>
      </c>
      <c r="J5" s="27" t="n">
        <f aca="false">YEAR(J4)</f>
        <v>2027</v>
      </c>
      <c r="K5" s="27" t="n">
        <f aca="false">YEAR(K4)</f>
        <v>2027</v>
      </c>
      <c r="L5" s="27" t="n">
        <f aca="false">YEAR(L4)</f>
        <v>2027</v>
      </c>
      <c r="M5" s="27" t="n">
        <f aca="false">YEAR(M4)</f>
        <v>2027</v>
      </c>
      <c r="N5" s="27" t="n">
        <f aca="false">YEAR(N4)</f>
        <v>2027</v>
      </c>
      <c r="O5" s="27" t="n">
        <f aca="false">YEAR(O4)</f>
        <v>2027</v>
      </c>
      <c r="P5" s="27" t="n">
        <f aca="false">YEAR(P4)</f>
        <v>2027</v>
      </c>
      <c r="Q5" s="27" t="n">
        <f aca="false">YEAR(Q4)</f>
        <v>2027</v>
      </c>
      <c r="R5" s="27" t="n">
        <f aca="false">YEAR(R4)</f>
        <v>2027</v>
      </c>
      <c r="S5" s="27" t="n">
        <f aca="false">YEAR(S4)</f>
        <v>2027</v>
      </c>
      <c r="T5" s="27" t="n">
        <f aca="false">YEAR(T4)</f>
        <v>2028</v>
      </c>
      <c r="U5" s="27" t="n">
        <f aca="false">YEAR(U4)</f>
        <v>2028</v>
      </c>
      <c r="V5" s="27" t="n">
        <f aca="false">YEAR(V4)</f>
        <v>2028</v>
      </c>
      <c r="W5" s="27" t="n">
        <f aca="false">YEAR(W4)</f>
        <v>2028</v>
      </c>
      <c r="X5" s="27" t="n">
        <f aca="false">YEAR(X4)</f>
        <v>2028</v>
      </c>
      <c r="Y5" s="27" t="n">
        <f aca="false">YEAR(Y4)</f>
        <v>2028</v>
      </c>
      <c r="Z5" s="27" t="n">
        <f aca="false">YEAR(Z4)</f>
        <v>2028</v>
      </c>
      <c r="AA5" s="27" t="n">
        <f aca="false">YEAR(AA4)</f>
        <v>2028</v>
      </c>
      <c r="AB5" s="27" t="n">
        <f aca="false">YEAR(AB4)</f>
        <v>2028</v>
      </c>
      <c r="AC5" s="27" t="n">
        <f aca="false">YEAR(AC4)</f>
        <v>2028</v>
      </c>
      <c r="AD5" s="27" t="n">
        <f aca="false">YEAR(AD4)</f>
        <v>2028</v>
      </c>
      <c r="AE5" s="27" t="n">
        <f aca="false">YEAR(AE4)</f>
        <v>2028</v>
      </c>
      <c r="AF5" s="27" t="n">
        <f aca="false">YEAR(AF4)</f>
        <v>2029</v>
      </c>
      <c r="AG5" s="27" t="n">
        <f aca="false">YEAR(AG4)</f>
        <v>2029</v>
      </c>
      <c r="AH5" s="27" t="n">
        <f aca="false">YEAR(AH4)</f>
        <v>2029</v>
      </c>
      <c r="AI5" s="27" t="n">
        <f aca="false">YEAR(AI4)</f>
        <v>2029</v>
      </c>
      <c r="AJ5" s="27" t="n">
        <f aca="false">YEAR(AJ4)</f>
        <v>2029</v>
      </c>
      <c r="AK5" s="27" t="n">
        <f aca="false">YEAR(AK4)</f>
        <v>2029</v>
      </c>
      <c r="AL5" s="27" t="n">
        <f aca="false">YEAR(AL4)</f>
        <v>2029</v>
      </c>
      <c r="AM5" s="27" t="n">
        <f aca="false">YEAR(AM4)</f>
        <v>2029</v>
      </c>
      <c r="AN5" s="27" t="n">
        <f aca="false">YEAR(AN4)</f>
        <v>2029</v>
      </c>
      <c r="AO5" s="27" t="n">
        <f aca="false">YEAR(AO4)</f>
        <v>2029</v>
      </c>
      <c r="AP5" s="27" t="n">
        <f aca="false">YEAR(AP4)</f>
        <v>2029</v>
      </c>
      <c r="AQ5" s="27" t="n">
        <f aca="false">YEAR(AQ4)</f>
        <v>2029</v>
      </c>
    </row>
    <row r="6" customFormat="false" ht="15" hidden="false" customHeight="false" outlineLevel="0" collapsed="false">
      <c r="A6" s="8" t="s">
        <v>82</v>
      </c>
    </row>
    <row r="7" customFormat="false" ht="15" hidden="false" customHeight="false" outlineLevel="0" collapsed="false">
      <c r="A7" s="5" t="s">
        <v>83</v>
      </c>
      <c r="B7" s="17" t="n">
        <v>2</v>
      </c>
      <c r="C7" s="17" t="n">
        <v>4</v>
      </c>
      <c r="D7" s="17" t="n">
        <v>5</v>
      </c>
      <c r="E7" s="17" t="n">
        <v>6</v>
      </c>
      <c r="F7" s="17" t="n">
        <v>8</v>
      </c>
      <c r="G7" s="17" t="n">
        <v>8</v>
      </c>
      <c r="H7" s="17" t="n">
        <v>0</v>
      </c>
      <c r="I7" s="17" t="n">
        <v>0</v>
      </c>
      <c r="J7" s="17" t="n">
        <v>0</v>
      </c>
      <c r="K7" s="17" t="n">
        <v>0</v>
      </c>
      <c r="L7" s="17" t="n">
        <v>0</v>
      </c>
      <c r="M7" s="17" t="n">
        <v>0</v>
      </c>
      <c r="N7" s="17" t="n">
        <v>0</v>
      </c>
      <c r="O7" s="17" t="n">
        <v>0</v>
      </c>
      <c r="P7" s="17" t="n">
        <v>0</v>
      </c>
      <c r="Q7" s="17" t="n">
        <v>0</v>
      </c>
      <c r="R7" s="17" t="n">
        <v>0</v>
      </c>
      <c r="S7" s="17" t="n">
        <v>0</v>
      </c>
      <c r="T7" s="17" t="n">
        <v>0</v>
      </c>
      <c r="U7" s="17" t="n">
        <v>0</v>
      </c>
      <c r="V7" s="17" t="n">
        <v>0</v>
      </c>
      <c r="W7" s="17" t="n">
        <v>0</v>
      </c>
      <c r="X7" s="17" t="n">
        <v>0</v>
      </c>
      <c r="Y7" s="17" t="n">
        <v>0</v>
      </c>
      <c r="Z7" s="17" t="n">
        <v>0</v>
      </c>
      <c r="AA7" s="17" t="n">
        <v>0</v>
      </c>
      <c r="AB7" s="17" t="n">
        <v>0</v>
      </c>
      <c r="AC7" s="17" t="n">
        <v>0</v>
      </c>
      <c r="AD7" s="17" t="n">
        <v>0</v>
      </c>
      <c r="AE7" s="17" t="n">
        <v>0</v>
      </c>
      <c r="AF7" s="17" t="n">
        <v>0</v>
      </c>
      <c r="AG7" s="17" t="n">
        <v>0</v>
      </c>
      <c r="AH7" s="17" t="n">
        <v>0</v>
      </c>
      <c r="AI7" s="17" t="n">
        <v>0</v>
      </c>
      <c r="AJ7" s="17" t="n">
        <v>0</v>
      </c>
      <c r="AK7" s="17" t="n">
        <v>0</v>
      </c>
      <c r="AL7" s="17" t="n">
        <v>0</v>
      </c>
      <c r="AM7" s="17" t="n">
        <v>0</v>
      </c>
      <c r="AN7" s="17" t="n">
        <v>0</v>
      </c>
      <c r="AO7" s="17" t="n">
        <v>0</v>
      </c>
      <c r="AP7" s="17" t="n">
        <v>0</v>
      </c>
      <c r="AQ7" s="17" t="n">
        <v>0</v>
      </c>
    </row>
    <row r="8" customFormat="false" ht="15" hidden="false" customHeight="false" outlineLevel="0" collapsed="false">
      <c r="A8" s="5" t="s">
        <v>84</v>
      </c>
      <c r="B8" s="12" t="n">
        <f aca="false">IF(B$4=DATE(2027,1,1),MAX($B$7:$G$7)*Assumptions!$G$10,0)</f>
        <v>0</v>
      </c>
      <c r="C8" s="12" t="n">
        <f aca="false">IF(C$4=DATE(2027,1,1),MAX($B$7:$G$7)*Assumptions!$G$10,0)</f>
        <v>0</v>
      </c>
      <c r="D8" s="12" t="n">
        <f aca="false">IF(D$4=DATE(2027,1,1),MAX($B$7:$G$7)*Assumptions!$G$10,0)</f>
        <v>0</v>
      </c>
      <c r="E8" s="12" t="n">
        <f aca="false">IF(E$4=DATE(2027,1,1),MAX($B$7:$G$7)*Assumptions!$G$10,0)</f>
        <v>0</v>
      </c>
      <c r="F8" s="12" t="n">
        <f aca="false">IF(F$4=DATE(2027,1,1),MAX($B$7:$G$7)*Assumptions!$G$10,0)</f>
        <v>0</v>
      </c>
      <c r="G8" s="12" t="n">
        <f aca="false">IF(G$4=DATE(2027,1,1),MAX($B$7:$G$7)*Assumptions!$G$10,0)</f>
        <v>0</v>
      </c>
      <c r="H8" s="12" t="n">
        <f aca="false">IF(H$4=DATE(2027,1,1),MAX($B$7:$G$7)*Assumptions!$G$10,0)</f>
        <v>6</v>
      </c>
      <c r="I8" s="12" t="n">
        <f aca="false">IF(I$4=DATE(2027,1,1),MAX($B$7:$G$7)*Assumptions!$G$10,0)</f>
        <v>0</v>
      </c>
      <c r="J8" s="12" t="n">
        <f aca="false">IF(J$4=DATE(2027,1,1),MAX($B$7:$G$7)*Assumptions!$G$10,0)</f>
        <v>0</v>
      </c>
      <c r="K8" s="12" t="n">
        <f aca="false">IF(K$4=DATE(2027,1,1),MAX($B$7:$G$7)*Assumptions!$G$10,0)</f>
        <v>0</v>
      </c>
      <c r="L8" s="12" t="n">
        <f aca="false">IF(L$4=DATE(2027,1,1),MAX($B$7:$G$7)*Assumptions!$G$10,0)</f>
        <v>0</v>
      </c>
      <c r="M8" s="12" t="n">
        <f aca="false">IF(M$4=DATE(2027,1,1),MAX($B$7:$G$7)*Assumptions!$G$10,0)</f>
        <v>0</v>
      </c>
      <c r="N8" s="12" t="n">
        <f aca="false">IF(N$4=DATE(2027,1,1),MAX($B$7:$G$7)*Assumptions!$G$10,0)</f>
        <v>0</v>
      </c>
      <c r="O8" s="12" t="n">
        <f aca="false">IF(O$4=DATE(2027,1,1),MAX($B$7:$G$7)*Assumptions!$G$10,0)</f>
        <v>0</v>
      </c>
      <c r="P8" s="12" t="n">
        <f aca="false">IF(P$4=DATE(2027,1,1),MAX($B$7:$G$7)*Assumptions!$G$10,0)</f>
        <v>0</v>
      </c>
      <c r="Q8" s="12" t="n">
        <f aca="false">IF(Q$4=DATE(2027,1,1),MAX($B$7:$G$7)*Assumptions!$G$10,0)</f>
        <v>0</v>
      </c>
      <c r="R8" s="12" t="n">
        <f aca="false">IF(R$4=DATE(2027,1,1),MAX($B$7:$G$7)*Assumptions!$G$10,0)</f>
        <v>0</v>
      </c>
      <c r="S8" s="12" t="n">
        <f aca="false">IF(S$4=DATE(2027,1,1),MAX($B$7:$G$7)*Assumptions!$G$10,0)</f>
        <v>0</v>
      </c>
      <c r="T8" s="12" t="n">
        <f aca="false">IF(T$4=DATE(2027,1,1),MAX($B$7:$G$7)*Assumptions!$G$10,0)</f>
        <v>0</v>
      </c>
      <c r="U8" s="12" t="n">
        <f aca="false">IF(U$4=DATE(2027,1,1),MAX($B$7:$G$7)*Assumptions!$G$10,0)</f>
        <v>0</v>
      </c>
      <c r="V8" s="12" t="n">
        <f aca="false">IF(V$4=DATE(2027,1,1),MAX($B$7:$G$7)*Assumptions!$G$10,0)</f>
        <v>0</v>
      </c>
      <c r="W8" s="12" t="n">
        <f aca="false">IF(W$4=DATE(2027,1,1),MAX($B$7:$G$7)*Assumptions!$G$10,0)</f>
        <v>0</v>
      </c>
      <c r="X8" s="12" t="n">
        <f aca="false">IF(X$4=DATE(2027,1,1),MAX($B$7:$G$7)*Assumptions!$G$10,0)</f>
        <v>0</v>
      </c>
      <c r="Y8" s="12" t="n">
        <f aca="false">IF(Y$4=DATE(2027,1,1),MAX($B$7:$G$7)*Assumptions!$G$10,0)</f>
        <v>0</v>
      </c>
      <c r="Z8" s="12" t="n">
        <f aca="false">IF(Z$4=DATE(2027,1,1),MAX($B$7:$G$7)*Assumptions!$G$10,0)</f>
        <v>0</v>
      </c>
      <c r="AA8" s="12" t="n">
        <f aca="false">IF(AA$4=DATE(2027,1,1),MAX($B$7:$G$7)*Assumptions!$G$10,0)</f>
        <v>0</v>
      </c>
      <c r="AB8" s="12" t="n">
        <f aca="false">IF(AB$4=DATE(2027,1,1),MAX($B$7:$G$7)*Assumptions!$G$10,0)</f>
        <v>0</v>
      </c>
      <c r="AC8" s="12" t="n">
        <f aca="false">IF(AC$4=DATE(2027,1,1),MAX($B$7:$G$7)*Assumptions!$G$10,0)</f>
        <v>0</v>
      </c>
      <c r="AD8" s="12" t="n">
        <f aca="false">IF(AD$4=DATE(2027,1,1),MAX($B$7:$G$7)*Assumptions!$G$10,0)</f>
        <v>0</v>
      </c>
      <c r="AE8" s="12" t="n">
        <f aca="false">IF(AE$4=DATE(2027,1,1),MAX($B$7:$G$7)*Assumptions!$G$10,0)</f>
        <v>0</v>
      </c>
      <c r="AF8" s="12" t="n">
        <f aca="false">IF(AF$4=DATE(2027,1,1),MAX($B$7:$G$7)*Assumptions!$G$10,0)</f>
        <v>0</v>
      </c>
      <c r="AG8" s="12" t="n">
        <f aca="false">IF(AG$4=DATE(2027,1,1),MAX($B$7:$G$7)*Assumptions!$G$10,0)</f>
        <v>0</v>
      </c>
      <c r="AH8" s="12" t="n">
        <f aca="false">IF(AH$4=DATE(2027,1,1),MAX($B$7:$G$7)*Assumptions!$G$10,0)</f>
        <v>0</v>
      </c>
      <c r="AI8" s="12" t="n">
        <f aca="false">IF(AI$4=DATE(2027,1,1),MAX($B$7:$G$7)*Assumptions!$G$10,0)</f>
        <v>0</v>
      </c>
      <c r="AJ8" s="12" t="n">
        <f aca="false">IF(AJ$4=DATE(2027,1,1),MAX($B$7:$G$7)*Assumptions!$G$10,0)</f>
        <v>0</v>
      </c>
      <c r="AK8" s="12" t="n">
        <f aca="false">IF(AK$4=DATE(2027,1,1),MAX($B$7:$G$7)*Assumptions!$G$10,0)</f>
        <v>0</v>
      </c>
      <c r="AL8" s="12" t="n">
        <f aca="false">IF(AL$4=DATE(2027,1,1),MAX($B$7:$G$7)*Assumptions!$G$10,0)</f>
        <v>0</v>
      </c>
      <c r="AM8" s="12" t="n">
        <f aca="false">IF(AM$4=DATE(2027,1,1),MAX($B$7:$G$7)*Assumptions!$G$10,0)</f>
        <v>0</v>
      </c>
      <c r="AN8" s="12" t="n">
        <f aca="false">IF(AN$4=DATE(2027,1,1),MAX($B$7:$G$7)*Assumptions!$G$10,0)</f>
        <v>0</v>
      </c>
      <c r="AO8" s="12" t="n">
        <f aca="false">IF(AO$4=DATE(2027,1,1),MAX($B$7:$G$7)*Assumptions!$G$10,0)</f>
        <v>0</v>
      </c>
      <c r="AP8" s="12" t="n">
        <f aca="false">IF(AP$4=DATE(2027,1,1),MAX($B$7:$G$7)*Assumptions!$G$10,0)</f>
        <v>0</v>
      </c>
      <c r="AQ8" s="12" t="n">
        <f aca="false">IF(AQ$4=DATE(2027,1,1),MAX($B$7:$G$7)*Assumptions!$G$10,0)</f>
        <v>0</v>
      </c>
    </row>
    <row r="9" customFormat="false" ht="15" hidden="false" customHeight="false" outlineLevel="0" collapsed="false">
      <c r="A9" s="5" t="s">
        <v>85</v>
      </c>
      <c r="B9" s="17" t="n">
        <v>0</v>
      </c>
      <c r="C9" s="17" t="n">
        <v>0</v>
      </c>
      <c r="D9" s="17" t="n">
        <v>0</v>
      </c>
      <c r="E9" s="17" t="n">
        <v>0</v>
      </c>
      <c r="F9" s="17" t="n">
        <v>0</v>
      </c>
      <c r="G9" s="17" t="n">
        <v>0</v>
      </c>
      <c r="H9" s="17" t="n">
        <v>1</v>
      </c>
      <c r="I9" s="17" t="n">
        <v>1</v>
      </c>
      <c r="J9" s="17" t="n">
        <v>2</v>
      </c>
      <c r="K9" s="17" t="n">
        <v>2</v>
      </c>
      <c r="L9" s="17" t="n">
        <v>2</v>
      </c>
      <c r="M9" s="17" t="n">
        <v>2</v>
      </c>
      <c r="N9" s="17" t="n">
        <v>3</v>
      </c>
      <c r="O9" s="17" t="n">
        <v>3</v>
      </c>
      <c r="P9" s="17" t="n">
        <v>3</v>
      </c>
      <c r="Q9" s="17" t="n">
        <v>3</v>
      </c>
      <c r="R9" s="17" t="n">
        <v>4</v>
      </c>
      <c r="S9" s="17" t="n">
        <v>4</v>
      </c>
      <c r="T9" s="17" t="n">
        <v>5</v>
      </c>
      <c r="U9" s="17" t="n">
        <v>5</v>
      </c>
      <c r="V9" s="17" t="n">
        <v>5</v>
      </c>
      <c r="W9" s="17" t="n">
        <v>5</v>
      </c>
      <c r="X9" s="17" t="n">
        <v>6</v>
      </c>
      <c r="Y9" s="17" t="n">
        <v>6</v>
      </c>
      <c r="Z9" s="17" t="n">
        <v>6</v>
      </c>
      <c r="AA9" s="17" t="n">
        <v>6</v>
      </c>
      <c r="AB9" s="17" t="n">
        <v>6</v>
      </c>
      <c r="AC9" s="17" t="n">
        <v>7</v>
      </c>
      <c r="AD9" s="17" t="n">
        <v>7</v>
      </c>
      <c r="AE9" s="17" t="n">
        <v>7</v>
      </c>
      <c r="AF9" s="17" t="n">
        <v>7</v>
      </c>
      <c r="AG9" s="17" t="n">
        <v>7</v>
      </c>
      <c r="AH9" s="17" t="n">
        <v>7</v>
      </c>
      <c r="AI9" s="17" t="n">
        <v>7</v>
      </c>
      <c r="AJ9" s="17" t="n">
        <v>7</v>
      </c>
      <c r="AK9" s="17" t="n">
        <v>7</v>
      </c>
      <c r="AL9" s="17" t="n">
        <v>7</v>
      </c>
      <c r="AM9" s="17" t="n">
        <v>7</v>
      </c>
      <c r="AN9" s="17" t="n">
        <v>7</v>
      </c>
      <c r="AO9" s="17" t="n">
        <v>7</v>
      </c>
      <c r="AP9" s="17" t="n">
        <v>7</v>
      </c>
      <c r="AQ9" s="17" t="n">
        <v>7</v>
      </c>
    </row>
    <row r="10" customFormat="false" ht="15" hidden="false" customHeight="false" outlineLevel="0" collapsed="false">
      <c r="A10" s="5" t="s">
        <v>86</v>
      </c>
      <c r="B10" s="12" t="n">
        <f aca="false">B9*Assumptions!$G$9</f>
        <v>0</v>
      </c>
      <c r="C10" s="12" t="n">
        <f aca="false">C9*Assumptions!$G$9</f>
        <v>0</v>
      </c>
      <c r="D10" s="12" t="n">
        <f aca="false">D9*Assumptions!$G$9</f>
        <v>0</v>
      </c>
      <c r="E10" s="12" t="n">
        <f aca="false">E9*Assumptions!$G$9</f>
        <v>0</v>
      </c>
      <c r="F10" s="12" t="n">
        <f aca="false">F9*Assumptions!$G$9</f>
        <v>0</v>
      </c>
      <c r="G10" s="12" t="n">
        <f aca="false">G9*Assumptions!$G$9</f>
        <v>0</v>
      </c>
      <c r="H10" s="12" t="n">
        <f aca="false">H9*Assumptions!$G$9</f>
        <v>1</v>
      </c>
      <c r="I10" s="12" t="n">
        <f aca="false">I9*Assumptions!$G$9</f>
        <v>1</v>
      </c>
      <c r="J10" s="12" t="n">
        <f aca="false">J9*Assumptions!$G$9</f>
        <v>2</v>
      </c>
      <c r="K10" s="12" t="n">
        <f aca="false">K9*Assumptions!$G$9</f>
        <v>2</v>
      </c>
      <c r="L10" s="12" t="n">
        <f aca="false">L9*Assumptions!$G$9</f>
        <v>2</v>
      </c>
      <c r="M10" s="12" t="n">
        <f aca="false">M9*Assumptions!$G$9</f>
        <v>2</v>
      </c>
      <c r="N10" s="12" t="n">
        <f aca="false">N9*Assumptions!$G$9</f>
        <v>3</v>
      </c>
      <c r="O10" s="12" t="n">
        <f aca="false">O9*Assumptions!$G$9</f>
        <v>3</v>
      </c>
      <c r="P10" s="12" t="n">
        <f aca="false">P9*Assumptions!$G$9</f>
        <v>3</v>
      </c>
      <c r="Q10" s="12" t="n">
        <f aca="false">Q9*Assumptions!$G$9</f>
        <v>3</v>
      </c>
      <c r="R10" s="12" t="n">
        <f aca="false">R9*Assumptions!$G$9</f>
        <v>4</v>
      </c>
      <c r="S10" s="12" t="n">
        <f aca="false">S9*Assumptions!$G$9</f>
        <v>4</v>
      </c>
      <c r="T10" s="12" t="n">
        <f aca="false">T9*Assumptions!$G$9</f>
        <v>5</v>
      </c>
      <c r="U10" s="12" t="n">
        <f aca="false">U9*Assumptions!$G$9</f>
        <v>5</v>
      </c>
      <c r="V10" s="12" t="n">
        <f aca="false">V9*Assumptions!$G$9</f>
        <v>5</v>
      </c>
      <c r="W10" s="12" t="n">
        <f aca="false">W9*Assumptions!$G$9</f>
        <v>5</v>
      </c>
      <c r="X10" s="12" t="n">
        <f aca="false">X9*Assumptions!$G$9</f>
        <v>6</v>
      </c>
      <c r="Y10" s="12" t="n">
        <f aca="false">Y9*Assumptions!$G$9</f>
        <v>6</v>
      </c>
      <c r="Z10" s="12" t="n">
        <f aca="false">Z9*Assumptions!$G$9</f>
        <v>6</v>
      </c>
      <c r="AA10" s="12" t="n">
        <f aca="false">AA9*Assumptions!$G$9</f>
        <v>6</v>
      </c>
      <c r="AB10" s="12" t="n">
        <f aca="false">AB9*Assumptions!$G$9</f>
        <v>6</v>
      </c>
      <c r="AC10" s="12" t="n">
        <f aca="false">AC9*Assumptions!$G$9</f>
        <v>7</v>
      </c>
      <c r="AD10" s="12" t="n">
        <f aca="false">AD9*Assumptions!$G$9</f>
        <v>7</v>
      </c>
      <c r="AE10" s="12" t="n">
        <f aca="false">AE9*Assumptions!$G$9</f>
        <v>7</v>
      </c>
      <c r="AF10" s="12" t="n">
        <f aca="false">AF9*Assumptions!$G$9</f>
        <v>7</v>
      </c>
      <c r="AG10" s="12" t="n">
        <f aca="false">AG9*Assumptions!$G$9</f>
        <v>7</v>
      </c>
      <c r="AH10" s="12" t="n">
        <f aca="false">AH9*Assumptions!$G$9</f>
        <v>7</v>
      </c>
      <c r="AI10" s="12" t="n">
        <f aca="false">AI9*Assumptions!$G$9</f>
        <v>7</v>
      </c>
      <c r="AJ10" s="12" t="n">
        <f aca="false">AJ9*Assumptions!$G$9</f>
        <v>7</v>
      </c>
      <c r="AK10" s="12" t="n">
        <f aca="false">AK9*Assumptions!$G$9</f>
        <v>7</v>
      </c>
      <c r="AL10" s="12" t="n">
        <f aca="false">AL9*Assumptions!$G$9</f>
        <v>7</v>
      </c>
      <c r="AM10" s="12" t="n">
        <f aca="false">AM9*Assumptions!$G$9</f>
        <v>7</v>
      </c>
      <c r="AN10" s="12" t="n">
        <f aca="false">AN9*Assumptions!$G$9</f>
        <v>7</v>
      </c>
      <c r="AO10" s="12" t="n">
        <f aca="false">AO9*Assumptions!$G$9</f>
        <v>7</v>
      </c>
      <c r="AP10" s="12" t="n">
        <f aca="false">AP9*Assumptions!$G$9</f>
        <v>7</v>
      </c>
      <c r="AQ10" s="12" t="n">
        <f aca="false">AQ9*Assumptions!$G$9</f>
        <v>7</v>
      </c>
    </row>
    <row r="11" customFormat="false" ht="15" hidden="false" customHeight="false" outlineLevel="0" collapsed="false">
      <c r="A11" s="3" t="s">
        <v>87</v>
      </c>
      <c r="B11" s="28" t="n">
        <f aca="false">B8+B10</f>
        <v>0</v>
      </c>
      <c r="C11" s="28" t="n">
        <f aca="false">C8+C10</f>
        <v>0</v>
      </c>
      <c r="D11" s="28" t="n">
        <f aca="false">D8+D10</f>
        <v>0</v>
      </c>
      <c r="E11" s="28" t="n">
        <f aca="false">E8+E10</f>
        <v>0</v>
      </c>
      <c r="F11" s="28" t="n">
        <f aca="false">F8+F10</f>
        <v>0</v>
      </c>
      <c r="G11" s="28" t="n">
        <f aca="false">G8+G10</f>
        <v>0</v>
      </c>
      <c r="H11" s="28" t="n">
        <f aca="false">H8+H10</f>
        <v>7</v>
      </c>
      <c r="I11" s="28" t="n">
        <f aca="false">I8+I10</f>
        <v>1</v>
      </c>
      <c r="J11" s="28" t="n">
        <f aca="false">J8+J10</f>
        <v>2</v>
      </c>
      <c r="K11" s="28" t="n">
        <f aca="false">K8+K10</f>
        <v>2</v>
      </c>
      <c r="L11" s="28" t="n">
        <f aca="false">L8+L10</f>
        <v>2</v>
      </c>
      <c r="M11" s="28" t="n">
        <f aca="false">M8+M10</f>
        <v>2</v>
      </c>
      <c r="N11" s="28" t="n">
        <f aca="false">N8+N10</f>
        <v>3</v>
      </c>
      <c r="O11" s="28" t="n">
        <f aca="false">O8+O10</f>
        <v>3</v>
      </c>
      <c r="P11" s="28" t="n">
        <f aca="false">P8+P10</f>
        <v>3</v>
      </c>
      <c r="Q11" s="28" t="n">
        <f aca="false">Q8+Q10</f>
        <v>3</v>
      </c>
      <c r="R11" s="28" t="n">
        <f aca="false">R8+R10</f>
        <v>4</v>
      </c>
      <c r="S11" s="28" t="n">
        <f aca="false">S8+S10</f>
        <v>4</v>
      </c>
      <c r="T11" s="28" t="n">
        <f aca="false">T8+T10</f>
        <v>5</v>
      </c>
      <c r="U11" s="28" t="n">
        <f aca="false">U8+U10</f>
        <v>5</v>
      </c>
      <c r="V11" s="28" t="n">
        <f aca="false">V8+V10</f>
        <v>5</v>
      </c>
      <c r="W11" s="28" t="n">
        <f aca="false">W8+W10</f>
        <v>5</v>
      </c>
      <c r="X11" s="28" t="n">
        <f aca="false">X8+X10</f>
        <v>6</v>
      </c>
      <c r="Y11" s="28" t="n">
        <f aca="false">Y8+Y10</f>
        <v>6</v>
      </c>
      <c r="Z11" s="28" t="n">
        <f aca="false">Z8+Z10</f>
        <v>6</v>
      </c>
      <c r="AA11" s="28" t="n">
        <f aca="false">AA8+AA10</f>
        <v>6</v>
      </c>
      <c r="AB11" s="28" t="n">
        <f aca="false">AB8+AB10</f>
        <v>6</v>
      </c>
      <c r="AC11" s="28" t="n">
        <f aca="false">AC8+AC10</f>
        <v>7</v>
      </c>
      <c r="AD11" s="28" t="n">
        <f aca="false">AD8+AD10</f>
        <v>7</v>
      </c>
      <c r="AE11" s="28" t="n">
        <f aca="false">AE8+AE10</f>
        <v>7</v>
      </c>
      <c r="AF11" s="28" t="n">
        <f aca="false">AF8+AF10</f>
        <v>7</v>
      </c>
      <c r="AG11" s="28" t="n">
        <f aca="false">AG8+AG10</f>
        <v>7</v>
      </c>
      <c r="AH11" s="28" t="n">
        <f aca="false">AH8+AH10</f>
        <v>7</v>
      </c>
      <c r="AI11" s="28" t="n">
        <f aca="false">AI8+AI10</f>
        <v>7</v>
      </c>
      <c r="AJ11" s="28" t="n">
        <f aca="false">AJ8+AJ10</f>
        <v>7</v>
      </c>
      <c r="AK11" s="28" t="n">
        <f aca="false">AK8+AK10</f>
        <v>7</v>
      </c>
      <c r="AL11" s="28" t="n">
        <f aca="false">AL8+AL10</f>
        <v>7</v>
      </c>
      <c r="AM11" s="28" t="n">
        <f aca="false">AM8+AM10</f>
        <v>7</v>
      </c>
      <c r="AN11" s="28" t="n">
        <f aca="false">AN8+AN10</f>
        <v>7</v>
      </c>
      <c r="AO11" s="28" t="n">
        <f aca="false">AO8+AO10</f>
        <v>7</v>
      </c>
      <c r="AP11" s="28" t="n">
        <f aca="false">AP8+AP10</f>
        <v>7</v>
      </c>
      <c r="AQ11" s="28" t="n">
        <f aca="false">AQ8+AQ10</f>
        <v>7</v>
      </c>
    </row>
    <row r="12" customFormat="false" ht="15" hidden="false" customHeight="false" outlineLevel="0" collapsed="false">
      <c r="A12" s="5" t="s">
        <v>88</v>
      </c>
      <c r="B12" s="14" t="n">
        <f aca="false">IF(B$4&lt;DATE(2027,1,1),Assumptions!$G$12,MIN(Assumptions!$G$13,Assumptions!$G$12+(Assumptions!$G$13-Assumptions!$G$12)*((YEAR(B$4)-2027)*12+MONTH(B$4)-1)/23))</f>
        <v>0.3</v>
      </c>
      <c r="C12" s="14" t="n">
        <f aca="false">IF(C$4&lt;DATE(2027,1,1),Assumptions!$G$12,MIN(Assumptions!$G$13,Assumptions!$G$12+(Assumptions!$G$13-Assumptions!$G$12)*((YEAR(C$4)-2027)*12+MONTH(C$4)-1)/23))</f>
        <v>0.3</v>
      </c>
      <c r="D12" s="14" t="n">
        <f aca="false">IF(D$4&lt;DATE(2027,1,1),Assumptions!$G$12,MIN(Assumptions!$G$13,Assumptions!$G$12+(Assumptions!$G$13-Assumptions!$G$12)*((YEAR(D$4)-2027)*12+MONTH(D$4)-1)/23))</f>
        <v>0.3</v>
      </c>
      <c r="E12" s="14" t="n">
        <f aca="false">IF(E$4&lt;DATE(2027,1,1),Assumptions!$G$12,MIN(Assumptions!$G$13,Assumptions!$G$12+(Assumptions!$G$13-Assumptions!$G$12)*((YEAR(E$4)-2027)*12+MONTH(E$4)-1)/23))</f>
        <v>0.3</v>
      </c>
      <c r="F12" s="14" t="n">
        <f aca="false">IF(F$4&lt;DATE(2027,1,1),Assumptions!$G$12,MIN(Assumptions!$G$13,Assumptions!$G$12+(Assumptions!$G$13-Assumptions!$G$12)*((YEAR(F$4)-2027)*12+MONTH(F$4)-1)/23))</f>
        <v>0.3</v>
      </c>
      <c r="G12" s="14" t="n">
        <f aca="false">IF(G$4&lt;DATE(2027,1,1),Assumptions!$G$12,MIN(Assumptions!$G$13,Assumptions!$G$12+(Assumptions!$G$13-Assumptions!$G$12)*((YEAR(G$4)-2027)*12+MONTH(G$4)-1)/23))</f>
        <v>0.3</v>
      </c>
      <c r="H12" s="14" t="n">
        <f aca="false">IF(H$4&lt;DATE(2027,1,1),Assumptions!$G$12,MIN(Assumptions!$G$13,Assumptions!$G$12+(Assumptions!$G$13-Assumptions!$G$12)*((YEAR(H$4)-2027)*12+MONTH(H$4)-1)/23))</f>
        <v>0.3</v>
      </c>
      <c r="I12" s="14" t="n">
        <f aca="false">IF(I$4&lt;DATE(2027,1,1),Assumptions!$G$12,MIN(Assumptions!$G$13,Assumptions!$G$12+(Assumptions!$G$13-Assumptions!$G$12)*((YEAR(I$4)-2027)*12+MONTH(I$4)-1)/23))</f>
        <v>0.31304347826087</v>
      </c>
      <c r="J12" s="14" t="n">
        <f aca="false">IF(J$4&lt;DATE(2027,1,1),Assumptions!$G$12,MIN(Assumptions!$G$13,Assumptions!$G$12+(Assumptions!$G$13-Assumptions!$G$12)*((YEAR(J$4)-2027)*12+MONTH(J$4)-1)/23))</f>
        <v>0.326086956521739</v>
      </c>
      <c r="K12" s="14" t="n">
        <f aca="false">IF(K$4&lt;DATE(2027,1,1),Assumptions!$G$12,MIN(Assumptions!$G$13,Assumptions!$G$12+(Assumptions!$G$13-Assumptions!$G$12)*((YEAR(K$4)-2027)*12+MONTH(K$4)-1)/23))</f>
        <v>0.339130434782609</v>
      </c>
      <c r="L12" s="14" t="n">
        <f aca="false">IF(L$4&lt;DATE(2027,1,1),Assumptions!$G$12,MIN(Assumptions!$G$13,Assumptions!$G$12+(Assumptions!$G$13-Assumptions!$G$12)*((YEAR(L$4)-2027)*12+MONTH(L$4)-1)/23))</f>
        <v>0.352173913043478</v>
      </c>
      <c r="M12" s="14" t="n">
        <f aca="false">IF(M$4&lt;DATE(2027,1,1),Assumptions!$G$12,MIN(Assumptions!$G$13,Assumptions!$G$12+(Assumptions!$G$13-Assumptions!$G$12)*((YEAR(M$4)-2027)*12+MONTH(M$4)-1)/23))</f>
        <v>0.365217391304348</v>
      </c>
      <c r="N12" s="14" t="n">
        <f aca="false">IF(N$4&lt;DATE(2027,1,1),Assumptions!$G$12,MIN(Assumptions!$G$13,Assumptions!$G$12+(Assumptions!$G$13-Assumptions!$G$12)*((YEAR(N$4)-2027)*12+MONTH(N$4)-1)/23))</f>
        <v>0.378260869565217</v>
      </c>
      <c r="O12" s="14" t="n">
        <f aca="false">IF(O$4&lt;DATE(2027,1,1),Assumptions!$G$12,MIN(Assumptions!$G$13,Assumptions!$G$12+(Assumptions!$G$13-Assumptions!$G$12)*((YEAR(O$4)-2027)*12+MONTH(O$4)-1)/23))</f>
        <v>0.391304347826087</v>
      </c>
      <c r="P12" s="14" t="n">
        <f aca="false">IF(P$4&lt;DATE(2027,1,1),Assumptions!$G$12,MIN(Assumptions!$G$13,Assumptions!$G$12+(Assumptions!$G$13-Assumptions!$G$12)*((YEAR(P$4)-2027)*12+MONTH(P$4)-1)/23))</f>
        <v>0.404347826086957</v>
      </c>
      <c r="Q12" s="14" t="n">
        <f aca="false">IF(Q$4&lt;DATE(2027,1,1),Assumptions!$G$12,MIN(Assumptions!$G$13,Assumptions!$G$12+(Assumptions!$G$13-Assumptions!$G$12)*((YEAR(Q$4)-2027)*12+MONTH(Q$4)-1)/23))</f>
        <v>0.417391304347826</v>
      </c>
      <c r="R12" s="14" t="n">
        <f aca="false">IF(R$4&lt;DATE(2027,1,1),Assumptions!$G$12,MIN(Assumptions!$G$13,Assumptions!$G$12+(Assumptions!$G$13-Assumptions!$G$12)*((YEAR(R$4)-2027)*12+MONTH(R$4)-1)/23))</f>
        <v>0.430434782608696</v>
      </c>
      <c r="S12" s="14" t="n">
        <f aca="false">IF(S$4&lt;DATE(2027,1,1),Assumptions!$G$12,MIN(Assumptions!$G$13,Assumptions!$G$12+(Assumptions!$G$13-Assumptions!$G$12)*((YEAR(S$4)-2027)*12+MONTH(S$4)-1)/23))</f>
        <v>0.443478260869565</v>
      </c>
      <c r="T12" s="14" t="n">
        <f aca="false">IF(T$4&lt;DATE(2027,1,1),Assumptions!$G$12,MIN(Assumptions!$G$13,Assumptions!$G$12+(Assumptions!$G$13-Assumptions!$G$12)*((YEAR(T$4)-2027)*12+MONTH(T$4)-1)/23))</f>
        <v>0.456521739130435</v>
      </c>
      <c r="U12" s="14" t="n">
        <f aca="false">IF(U$4&lt;DATE(2027,1,1),Assumptions!$G$12,MIN(Assumptions!$G$13,Assumptions!$G$12+(Assumptions!$G$13-Assumptions!$G$12)*((YEAR(U$4)-2027)*12+MONTH(U$4)-1)/23))</f>
        <v>0.469565217391304</v>
      </c>
      <c r="V12" s="14" t="n">
        <f aca="false">IF(V$4&lt;DATE(2027,1,1),Assumptions!$G$12,MIN(Assumptions!$G$13,Assumptions!$G$12+(Assumptions!$G$13-Assumptions!$G$12)*((YEAR(V$4)-2027)*12+MONTH(V$4)-1)/23))</f>
        <v>0.482608695652174</v>
      </c>
      <c r="W12" s="14" t="n">
        <f aca="false">IF(W$4&lt;DATE(2027,1,1),Assumptions!$G$12,MIN(Assumptions!$G$13,Assumptions!$G$12+(Assumptions!$G$13-Assumptions!$G$12)*((YEAR(W$4)-2027)*12+MONTH(W$4)-1)/23))</f>
        <v>0.495652173913044</v>
      </c>
      <c r="X12" s="14" t="n">
        <f aca="false">IF(X$4&lt;DATE(2027,1,1),Assumptions!$G$12,MIN(Assumptions!$G$13,Assumptions!$G$12+(Assumptions!$G$13-Assumptions!$G$12)*((YEAR(X$4)-2027)*12+MONTH(X$4)-1)/23))</f>
        <v>0.508695652173913</v>
      </c>
      <c r="Y12" s="14" t="n">
        <f aca="false">IF(Y$4&lt;DATE(2027,1,1),Assumptions!$G$12,MIN(Assumptions!$G$13,Assumptions!$G$12+(Assumptions!$G$13-Assumptions!$G$12)*((YEAR(Y$4)-2027)*12+MONTH(Y$4)-1)/23))</f>
        <v>0.521739130434783</v>
      </c>
      <c r="Z12" s="14" t="n">
        <f aca="false">IF(Z$4&lt;DATE(2027,1,1),Assumptions!$G$12,MIN(Assumptions!$G$13,Assumptions!$G$12+(Assumptions!$G$13-Assumptions!$G$12)*((YEAR(Z$4)-2027)*12+MONTH(Z$4)-1)/23))</f>
        <v>0.534782608695652</v>
      </c>
      <c r="AA12" s="14" t="n">
        <f aca="false">IF(AA$4&lt;DATE(2027,1,1),Assumptions!$G$12,MIN(Assumptions!$G$13,Assumptions!$G$12+(Assumptions!$G$13-Assumptions!$G$12)*((YEAR(AA$4)-2027)*12+MONTH(AA$4)-1)/23))</f>
        <v>0.547826086956522</v>
      </c>
      <c r="AB12" s="14" t="n">
        <f aca="false">IF(AB$4&lt;DATE(2027,1,1),Assumptions!$G$12,MIN(Assumptions!$G$13,Assumptions!$G$12+(Assumptions!$G$13-Assumptions!$G$12)*((YEAR(AB$4)-2027)*12+MONTH(AB$4)-1)/23))</f>
        <v>0.560869565217391</v>
      </c>
      <c r="AC12" s="14" t="n">
        <f aca="false">IF(AC$4&lt;DATE(2027,1,1),Assumptions!$G$12,MIN(Assumptions!$G$13,Assumptions!$G$12+(Assumptions!$G$13-Assumptions!$G$12)*((YEAR(AC$4)-2027)*12+MONTH(AC$4)-1)/23))</f>
        <v>0.573913043478261</v>
      </c>
      <c r="AD12" s="14" t="n">
        <f aca="false">IF(AD$4&lt;DATE(2027,1,1),Assumptions!$G$12,MIN(Assumptions!$G$13,Assumptions!$G$12+(Assumptions!$G$13-Assumptions!$G$12)*((YEAR(AD$4)-2027)*12+MONTH(AD$4)-1)/23))</f>
        <v>0.58695652173913</v>
      </c>
      <c r="AE12" s="14" t="n">
        <f aca="false">IF(AE$4&lt;DATE(2027,1,1),Assumptions!$G$12,MIN(Assumptions!$G$13,Assumptions!$G$12+(Assumptions!$G$13-Assumptions!$G$12)*((YEAR(AE$4)-2027)*12+MONTH(AE$4)-1)/23))</f>
        <v>0.6</v>
      </c>
      <c r="AF12" s="14" t="n">
        <f aca="false">IF(AF$4&lt;DATE(2027,1,1),Assumptions!$G$12,MIN(Assumptions!$G$13,Assumptions!$G$12+(Assumptions!$G$13-Assumptions!$G$12)*((YEAR(AF$4)-2027)*12+MONTH(AF$4)-1)/23))</f>
        <v>0.6</v>
      </c>
      <c r="AG12" s="14" t="n">
        <f aca="false">IF(AG$4&lt;DATE(2027,1,1),Assumptions!$G$12,MIN(Assumptions!$G$13,Assumptions!$G$12+(Assumptions!$G$13-Assumptions!$G$12)*((YEAR(AG$4)-2027)*12+MONTH(AG$4)-1)/23))</f>
        <v>0.6</v>
      </c>
      <c r="AH12" s="14" t="n">
        <f aca="false">IF(AH$4&lt;DATE(2027,1,1),Assumptions!$G$12,MIN(Assumptions!$G$13,Assumptions!$G$12+(Assumptions!$G$13-Assumptions!$G$12)*((YEAR(AH$4)-2027)*12+MONTH(AH$4)-1)/23))</f>
        <v>0.6</v>
      </c>
      <c r="AI12" s="14" t="n">
        <f aca="false">IF(AI$4&lt;DATE(2027,1,1),Assumptions!$G$12,MIN(Assumptions!$G$13,Assumptions!$G$12+(Assumptions!$G$13-Assumptions!$G$12)*((YEAR(AI$4)-2027)*12+MONTH(AI$4)-1)/23))</f>
        <v>0.6</v>
      </c>
      <c r="AJ12" s="14" t="n">
        <f aca="false">IF(AJ$4&lt;DATE(2027,1,1),Assumptions!$G$12,MIN(Assumptions!$G$13,Assumptions!$G$12+(Assumptions!$G$13-Assumptions!$G$12)*((YEAR(AJ$4)-2027)*12+MONTH(AJ$4)-1)/23))</f>
        <v>0.6</v>
      </c>
      <c r="AK12" s="14" t="n">
        <f aca="false">IF(AK$4&lt;DATE(2027,1,1),Assumptions!$G$12,MIN(Assumptions!$G$13,Assumptions!$G$12+(Assumptions!$G$13-Assumptions!$G$12)*((YEAR(AK$4)-2027)*12+MONTH(AK$4)-1)/23))</f>
        <v>0.6</v>
      </c>
      <c r="AL12" s="14" t="n">
        <f aca="false">IF(AL$4&lt;DATE(2027,1,1),Assumptions!$G$12,MIN(Assumptions!$G$13,Assumptions!$G$12+(Assumptions!$G$13-Assumptions!$G$12)*((YEAR(AL$4)-2027)*12+MONTH(AL$4)-1)/23))</f>
        <v>0.6</v>
      </c>
      <c r="AM12" s="14" t="n">
        <f aca="false">IF(AM$4&lt;DATE(2027,1,1),Assumptions!$G$12,MIN(Assumptions!$G$13,Assumptions!$G$12+(Assumptions!$G$13-Assumptions!$G$12)*((YEAR(AM$4)-2027)*12+MONTH(AM$4)-1)/23))</f>
        <v>0.6</v>
      </c>
      <c r="AN12" s="14" t="n">
        <f aca="false">IF(AN$4&lt;DATE(2027,1,1),Assumptions!$G$12,MIN(Assumptions!$G$13,Assumptions!$G$12+(Assumptions!$G$13-Assumptions!$G$12)*((YEAR(AN$4)-2027)*12+MONTH(AN$4)-1)/23))</f>
        <v>0.6</v>
      </c>
      <c r="AO12" s="14" t="n">
        <f aca="false">IF(AO$4&lt;DATE(2027,1,1),Assumptions!$G$12,MIN(Assumptions!$G$13,Assumptions!$G$12+(Assumptions!$G$13-Assumptions!$G$12)*((YEAR(AO$4)-2027)*12+MONTH(AO$4)-1)/23))</f>
        <v>0.6</v>
      </c>
      <c r="AP12" s="14" t="n">
        <f aca="false">IF(AP$4&lt;DATE(2027,1,1),Assumptions!$G$12,MIN(Assumptions!$G$13,Assumptions!$G$12+(Assumptions!$G$13-Assumptions!$G$12)*((YEAR(AP$4)-2027)*12+MONTH(AP$4)-1)/23))</f>
        <v>0.6</v>
      </c>
      <c r="AQ12" s="14" t="n">
        <f aca="false">IF(AQ$4&lt;DATE(2027,1,1),Assumptions!$G$12,MIN(Assumptions!$G$13,Assumptions!$G$12+(Assumptions!$G$13-Assumptions!$G$12)*((YEAR(AQ$4)-2027)*12+MONTH(AQ$4)-1)/23))</f>
        <v>0.6</v>
      </c>
    </row>
    <row r="13" customFormat="false" ht="15" hidden="false" customHeight="false" outlineLevel="0" collapsed="false">
      <c r="A13" s="5" t="s">
        <v>89</v>
      </c>
      <c r="B13" s="12" t="n">
        <f aca="false">B11*B12</f>
        <v>0</v>
      </c>
      <c r="C13" s="12" t="n">
        <f aca="false">C11*C12</f>
        <v>0</v>
      </c>
      <c r="D13" s="12" t="n">
        <f aca="false">D11*D12</f>
        <v>0</v>
      </c>
      <c r="E13" s="12" t="n">
        <f aca="false">E11*E12</f>
        <v>0</v>
      </c>
      <c r="F13" s="12" t="n">
        <f aca="false">F11*F12</f>
        <v>0</v>
      </c>
      <c r="G13" s="12" t="n">
        <f aca="false">G11*G12</f>
        <v>0</v>
      </c>
      <c r="H13" s="12" t="n">
        <f aca="false">H11*H12</f>
        <v>2.1</v>
      </c>
      <c r="I13" s="12" t="n">
        <f aca="false">I11*I12</f>
        <v>0.31304347826087</v>
      </c>
      <c r="J13" s="12" t="n">
        <f aca="false">J11*J12</f>
        <v>0.652173913043478</v>
      </c>
      <c r="K13" s="12" t="n">
        <f aca="false">K11*K12</f>
        <v>0.678260869565217</v>
      </c>
      <c r="L13" s="12" t="n">
        <f aca="false">L11*L12</f>
        <v>0.704347826086957</v>
      </c>
      <c r="M13" s="12" t="n">
        <f aca="false">M11*M12</f>
        <v>0.730434782608696</v>
      </c>
      <c r="N13" s="12" t="n">
        <f aca="false">N11*N12</f>
        <v>1.13478260869565</v>
      </c>
      <c r="O13" s="12" t="n">
        <f aca="false">O11*O12</f>
        <v>1.17391304347826</v>
      </c>
      <c r="P13" s="12" t="n">
        <f aca="false">P11*P12</f>
        <v>1.21304347826087</v>
      </c>
      <c r="Q13" s="12" t="n">
        <f aca="false">Q11*Q12</f>
        <v>1.25217391304348</v>
      </c>
      <c r="R13" s="12" t="n">
        <f aca="false">R11*R12</f>
        <v>1.72173913043478</v>
      </c>
      <c r="S13" s="12" t="n">
        <f aca="false">S11*S12</f>
        <v>1.77391304347826</v>
      </c>
      <c r="T13" s="12" t="n">
        <f aca="false">T11*T12</f>
        <v>2.28260869565217</v>
      </c>
      <c r="U13" s="12" t="n">
        <f aca="false">U11*U12</f>
        <v>2.34782608695652</v>
      </c>
      <c r="V13" s="12" t="n">
        <f aca="false">V11*V12</f>
        <v>2.41304347826087</v>
      </c>
      <c r="W13" s="12" t="n">
        <f aca="false">W11*W12</f>
        <v>2.47826086956522</v>
      </c>
      <c r="X13" s="12" t="n">
        <f aca="false">X11*X12</f>
        <v>3.05217391304348</v>
      </c>
      <c r="Y13" s="12" t="n">
        <f aca="false">Y11*Y12</f>
        <v>3.1304347826087</v>
      </c>
      <c r="Z13" s="12" t="n">
        <f aca="false">Z11*Z12</f>
        <v>3.20869565217391</v>
      </c>
      <c r="AA13" s="12" t="n">
        <f aca="false">AA11*AA12</f>
        <v>3.28695652173913</v>
      </c>
      <c r="AB13" s="12" t="n">
        <f aca="false">AB11*AB12</f>
        <v>3.36521739130435</v>
      </c>
      <c r="AC13" s="12" t="n">
        <f aca="false">AC11*AC12</f>
        <v>4.01739130434783</v>
      </c>
      <c r="AD13" s="12" t="n">
        <f aca="false">AD11*AD12</f>
        <v>4.10869565217391</v>
      </c>
      <c r="AE13" s="12" t="n">
        <f aca="false">AE11*AE12</f>
        <v>4.2</v>
      </c>
      <c r="AF13" s="12" t="n">
        <f aca="false">AF11*AF12</f>
        <v>4.2</v>
      </c>
      <c r="AG13" s="12" t="n">
        <f aca="false">AG11*AG12</f>
        <v>4.2</v>
      </c>
      <c r="AH13" s="12" t="n">
        <f aca="false">AH11*AH12</f>
        <v>4.2</v>
      </c>
      <c r="AI13" s="12" t="n">
        <f aca="false">AI11*AI12</f>
        <v>4.2</v>
      </c>
      <c r="AJ13" s="12" t="n">
        <f aca="false">AJ11*AJ12</f>
        <v>4.2</v>
      </c>
      <c r="AK13" s="12" t="n">
        <f aca="false">AK11*AK12</f>
        <v>4.2</v>
      </c>
      <c r="AL13" s="12" t="n">
        <f aca="false">AL11*AL12</f>
        <v>4.2</v>
      </c>
      <c r="AM13" s="12" t="n">
        <f aca="false">AM11*AM12</f>
        <v>4.2</v>
      </c>
      <c r="AN13" s="12" t="n">
        <f aca="false">AN11*AN12</f>
        <v>4.2</v>
      </c>
      <c r="AO13" s="12" t="n">
        <f aca="false">AO11*AO12</f>
        <v>4.2</v>
      </c>
      <c r="AP13" s="12" t="n">
        <f aca="false">AP11*AP12</f>
        <v>4.2</v>
      </c>
      <c r="AQ13" s="12" t="n">
        <f aca="false">AQ11*AQ12</f>
        <v>4.2</v>
      </c>
    </row>
    <row r="14" customFormat="false" ht="15" hidden="false" customHeight="false" outlineLevel="0" collapsed="false">
      <c r="A14" s="5" t="s">
        <v>90</v>
      </c>
      <c r="B14" s="12" t="n">
        <f aca="false">B11-B13</f>
        <v>0</v>
      </c>
      <c r="C14" s="12" t="n">
        <f aca="false">C11-C13</f>
        <v>0</v>
      </c>
      <c r="D14" s="12" t="n">
        <f aca="false">D11-D13</f>
        <v>0</v>
      </c>
      <c r="E14" s="12" t="n">
        <f aca="false">E11-E13</f>
        <v>0</v>
      </c>
      <c r="F14" s="12" t="n">
        <f aca="false">F11-F13</f>
        <v>0</v>
      </c>
      <c r="G14" s="12" t="n">
        <f aca="false">G11-G13</f>
        <v>0</v>
      </c>
      <c r="H14" s="12" t="n">
        <f aca="false">H11-H13</f>
        <v>4.9</v>
      </c>
      <c r="I14" s="12" t="n">
        <f aca="false">I11-I13</f>
        <v>0.686956521739131</v>
      </c>
      <c r="J14" s="12" t="n">
        <f aca="false">J11-J13</f>
        <v>1.34782608695652</v>
      </c>
      <c r="K14" s="12" t="n">
        <f aca="false">K11-K13</f>
        <v>1.32173913043478</v>
      </c>
      <c r="L14" s="12" t="n">
        <f aca="false">L11-L13</f>
        <v>1.29565217391304</v>
      </c>
      <c r="M14" s="12" t="n">
        <f aca="false">M11-M13</f>
        <v>1.2695652173913</v>
      </c>
      <c r="N14" s="12" t="n">
        <f aca="false">N11-N13</f>
        <v>1.86521739130435</v>
      </c>
      <c r="O14" s="12" t="n">
        <f aca="false">O11-O13</f>
        <v>1.82608695652174</v>
      </c>
      <c r="P14" s="12" t="n">
        <f aca="false">P11-P13</f>
        <v>1.78695652173913</v>
      </c>
      <c r="Q14" s="12" t="n">
        <f aca="false">Q11-Q13</f>
        <v>1.74782608695652</v>
      </c>
      <c r="R14" s="12" t="n">
        <f aca="false">R11-R13</f>
        <v>2.27826086956522</v>
      </c>
      <c r="S14" s="12" t="n">
        <f aca="false">S11-S13</f>
        <v>2.22608695652174</v>
      </c>
      <c r="T14" s="12" t="n">
        <f aca="false">T11-T13</f>
        <v>2.71739130434783</v>
      </c>
      <c r="U14" s="12" t="n">
        <f aca="false">U11-U13</f>
        <v>2.65217391304348</v>
      </c>
      <c r="V14" s="12" t="n">
        <f aca="false">V11-V13</f>
        <v>2.58695652173913</v>
      </c>
      <c r="W14" s="12" t="n">
        <f aca="false">W11-W13</f>
        <v>2.52173913043478</v>
      </c>
      <c r="X14" s="12" t="n">
        <f aca="false">X11-X13</f>
        <v>2.94782608695652</v>
      </c>
      <c r="Y14" s="12" t="n">
        <f aca="false">Y11-Y13</f>
        <v>2.8695652173913</v>
      </c>
      <c r="Z14" s="12" t="n">
        <f aca="false">Z11-Z13</f>
        <v>2.79130434782609</v>
      </c>
      <c r="AA14" s="12" t="n">
        <f aca="false">AA11-AA13</f>
        <v>2.71304347826087</v>
      </c>
      <c r="AB14" s="12" t="n">
        <f aca="false">AB11-AB13</f>
        <v>2.63478260869565</v>
      </c>
      <c r="AC14" s="12" t="n">
        <f aca="false">AC11-AC13</f>
        <v>2.98260869565217</v>
      </c>
      <c r="AD14" s="12" t="n">
        <f aca="false">AD11-AD13</f>
        <v>2.89130434782609</v>
      </c>
      <c r="AE14" s="12" t="n">
        <f aca="false">AE11-AE13</f>
        <v>2.8</v>
      </c>
      <c r="AF14" s="12" t="n">
        <f aca="false">AF11-AF13</f>
        <v>2.8</v>
      </c>
      <c r="AG14" s="12" t="n">
        <f aca="false">AG11-AG13</f>
        <v>2.8</v>
      </c>
      <c r="AH14" s="12" t="n">
        <f aca="false">AH11-AH13</f>
        <v>2.8</v>
      </c>
      <c r="AI14" s="12" t="n">
        <f aca="false">AI11-AI13</f>
        <v>2.8</v>
      </c>
      <c r="AJ14" s="12" t="n">
        <f aca="false">AJ11-AJ13</f>
        <v>2.8</v>
      </c>
      <c r="AK14" s="12" t="n">
        <f aca="false">AK11-AK13</f>
        <v>2.8</v>
      </c>
      <c r="AL14" s="12" t="n">
        <f aca="false">AL11-AL13</f>
        <v>2.8</v>
      </c>
      <c r="AM14" s="12" t="n">
        <f aca="false">AM11-AM13</f>
        <v>2.8</v>
      </c>
      <c r="AN14" s="12" t="n">
        <f aca="false">AN11-AN13</f>
        <v>2.8</v>
      </c>
      <c r="AO14" s="12" t="n">
        <f aca="false">AO11-AO13</f>
        <v>2.8</v>
      </c>
      <c r="AP14" s="12" t="n">
        <f aca="false">AP11-AP13</f>
        <v>2.8</v>
      </c>
      <c r="AQ14" s="12" t="n">
        <f aca="false">AQ11-AQ13</f>
        <v>2.8</v>
      </c>
    </row>
    <row r="15" customFormat="false" ht="15" hidden="false" customHeight="false" outlineLevel="0" collapsed="false">
      <c r="A15" s="5" t="s">
        <v>91</v>
      </c>
      <c r="B15" s="12" t="n">
        <v>0</v>
      </c>
      <c r="C15" s="12" t="n">
        <f aca="false">B18</f>
        <v>0</v>
      </c>
      <c r="D15" s="12" t="n">
        <f aca="false">C18</f>
        <v>0</v>
      </c>
      <c r="E15" s="12" t="n">
        <f aca="false">D18</f>
        <v>0</v>
      </c>
      <c r="F15" s="12" t="n">
        <f aca="false">E18</f>
        <v>0</v>
      </c>
      <c r="G15" s="12" t="n">
        <f aca="false">F18</f>
        <v>0</v>
      </c>
      <c r="H15" s="12" t="n">
        <f aca="false">G18</f>
        <v>0</v>
      </c>
      <c r="I15" s="12" t="n">
        <f aca="false">H18</f>
        <v>4.9</v>
      </c>
      <c r="J15" s="12" t="n">
        <f aca="false">I18</f>
        <v>5.47670652173913</v>
      </c>
      <c r="K15" s="12" t="n">
        <f aca="false">J18</f>
        <v>6.70130671195652</v>
      </c>
      <c r="L15" s="12" t="n">
        <f aca="false">K18</f>
        <v>7.87226644137228</v>
      </c>
      <c r="M15" s="12" t="n">
        <f aca="false">L18</f>
        <v>8.99079262035445</v>
      </c>
      <c r="N15" s="12" t="n">
        <f aca="false">M18</f>
        <v>10.0580650037878</v>
      </c>
      <c r="O15" s="12" t="n">
        <f aca="false">N18</f>
        <v>11.6969759325069</v>
      </c>
      <c r="P15" s="12" t="n">
        <f aca="false">O18</f>
        <v>13.2598809305472</v>
      </c>
      <c r="Q15" s="12" t="n">
        <f aca="false">P18</f>
        <v>14.7484901313491</v>
      </c>
      <c r="R15" s="12" t="n">
        <f aca="false">Q18</f>
        <v>16.1644751903502</v>
      </c>
      <c r="S15" s="12" t="n">
        <f aca="false">R18</f>
        <v>18.0790353681326</v>
      </c>
      <c r="T15" s="12" t="n">
        <f aca="false">S18</f>
        <v>19.8983440288713</v>
      </c>
      <c r="U15" s="12" t="n">
        <f aca="false">T18</f>
        <v>22.1680225925695</v>
      </c>
      <c r="V15" s="12" t="n">
        <f aca="false">U18</f>
        <v>24.3214159972802</v>
      </c>
      <c r="W15" s="12" t="n">
        <f aca="false">V18</f>
        <v>26.3611406590805</v>
      </c>
      <c r="X15" s="12" t="n">
        <f aca="false">W18</f>
        <v>28.289754124686</v>
      </c>
      <c r="Y15" s="12" t="n">
        <f aca="false">X18</f>
        <v>30.6010607438371</v>
      </c>
      <c r="Z15" s="12" t="n">
        <f aca="false">Y18</f>
        <v>32.782102094492</v>
      </c>
      <c r="AA15" s="12" t="n">
        <f aca="false">Z18</f>
        <v>34.8358091451921</v>
      </c>
      <c r="AB15" s="12" t="n">
        <f aca="false">AA18</f>
        <v>36.7650469176861</v>
      </c>
      <c r="AC15" s="12" t="n">
        <f aca="false">AB18</f>
        <v>38.5726159707338</v>
      </c>
      <c r="AD15" s="12" t="n">
        <f aca="false">AC18</f>
        <v>40.6873408070445</v>
      </c>
      <c r="AE15" s="12" t="n">
        <f aca="false">AD18</f>
        <v>42.6631799867121</v>
      </c>
      <c r="AF15" s="12" t="n">
        <f aca="false">AE18</f>
        <v>44.503258437011</v>
      </c>
      <c r="AG15" s="12" t="n">
        <f aca="false">AF18</f>
        <v>46.3019351221783</v>
      </c>
      <c r="AH15" s="12" t="n">
        <f aca="false">AG18</f>
        <v>48.0601415819293</v>
      </c>
      <c r="AI15" s="12" t="n">
        <f aca="false">AH18</f>
        <v>49.7787883963359</v>
      </c>
      <c r="AJ15" s="12" t="n">
        <f aca="false">AI18</f>
        <v>51.4587656574183</v>
      </c>
      <c r="AK15" s="12" t="n">
        <f aca="false">AJ18</f>
        <v>53.1009434301264</v>
      </c>
      <c r="AL15" s="12" t="n">
        <f aca="false">AK18</f>
        <v>54.7061722029485</v>
      </c>
      <c r="AM15" s="12" t="n">
        <f aca="false">AL18</f>
        <v>56.2752833283822</v>
      </c>
      <c r="AN15" s="12" t="n">
        <f aca="false">AM18</f>
        <v>57.8090894534936</v>
      </c>
      <c r="AO15" s="12" t="n">
        <f aca="false">AN18</f>
        <v>59.30838494079</v>
      </c>
      <c r="AP15" s="12" t="n">
        <f aca="false">AO18</f>
        <v>60.7739462796222</v>
      </c>
      <c r="AQ15" s="12" t="n">
        <f aca="false">AP18</f>
        <v>62.2065324883307</v>
      </c>
    </row>
    <row r="16" customFormat="false" ht="15" hidden="false" customHeight="false" outlineLevel="0" collapsed="false">
      <c r="A16" s="5" t="s">
        <v>92</v>
      </c>
      <c r="B16" s="12" t="n">
        <f aca="false">B15*Assumptions!$G$11</f>
        <v>0</v>
      </c>
      <c r="C16" s="12" t="n">
        <f aca="false">C15*Assumptions!$G$11</f>
        <v>0</v>
      </c>
      <c r="D16" s="12" t="n">
        <f aca="false">D15*Assumptions!$G$11</f>
        <v>0</v>
      </c>
      <c r="E16" s="12" t="n">
        <f aca="false">E15*Assumptions!$G$11</f>
        <v>0</v>
      </c>
      <c r="F16" s="12" t="n">
        <f aca="false">F15*Assumptions!$G$11</f>
        <v>0</v>
      </c>
      <c r="G16" s="12" t="n">
        <f aca="false">G15*Assumptions!$G$11</f>
        <v>0</v>
      </c>
      <c r="H16" s="12" t="n">
        <f aca="false">H15*Assumptions!$G$11</f>
        <v>0</v>
      </c>
      <c r="I16" s="12" t="n">
        <f aca="false">I15*Assumptions!$G$11</f>
        <v>0.06125</v>
      </c>
      <c r="J16" s="12" t="n">
        <f aca="false">J15*Assumptions!$G$11</f>
        <v>0.0684588315217391</v>
      </c>
      <c r="K16" s="12" t="n">
        <f aca="false">K15*Assumptions!$G$11</f>
        <v>0.0837663338994565</v>
      </c>
      <c r="L16" s="12" t="n">
        <f aca="false">L15*Assumptions!$G$11</f>
        <v>0.0984033305171535</v>
      </c>
      <c r="M16" s="12" t="n">
        <f aca="false">M15*Assumptions!$G$11</f>
        <v>0.112384907754431</v>
      </c>
      <c r="N16" s="12" t="n">
        <f aca="false">N15*Assumptions!$G$11</f>
        <v>0.125725812547347</v>
      </c>
      <c r="O16" s="12" t="n">
        <f aca="false">O15*Assumptions!$G$11</f>
        <v>0.146212199156336</v>
      </c>
      <c r="P16" s="12" t="n">
        <f aca="false">P15*Assumptions!$G$11</f>
        <v>0.16574851163184</v>
      </c>
      <c r="Q16" s="12" t="n">
        <f aca="false">Q15*Assumptions!$G$11</f>
        <v>0.184356126641863</v>
      </c>
      <c r="R16" s="12" t="n">
        <f aca="false">R15*Assumptions!$G$11</f>
        <v>0.202055939879378</v>
      </c>
      <c r="S16" s="12" t="n">
        <f aca="false">S15*Assumptions!$G$11</f>
        <v>0.225987942101657</v>
      </c>
      <c r="T16" s="12" t="n">
        <f aca="false">T15*Assumptions!$G$11</f>
        <v>0.248729300360891</v>
      </c>
      <c r="U16" s="12" t="n">
        <f aca="false">U15*Assumptions!$G$11</f>
        <v>0.277100282407119</v>
      </c>
      <c r="V16" s="12" t="n">
        <f aca="false">V15*Assumptions!$G$11</f>
        <v>0.304017699966003</v>
      </c>
      <c r="W16" s="12" t="n">
        <f aca="false">W15*Assumptions!$G$11</f>
        <v>0.329514258238507</v>
      </c>
      <c r="X16" s="12" t="n">
        <f aca="false">X15*Assumptions!$G$11</f>
        <v>0.353621926558575</v>
      </c>
      <c r="Y16" s="12" t="n">
        <f aca="false">Y15*Assumptions!$G$11</f>
        <v>0.382513259297964</v>
      </c>
      <c r="Z16" s="12" t="n">
        <f aca="false">Z15*Assumptions!$G$11</f>
        <v>0.409776276181151</v>
      </c>
      <c r="AA16" s="12" t="n">
        <f aca="false">AA15*Assumptions!$G$11</f>
        <v>0.435447614314901</v>
      </c>
      <c r="AB16" s="12" t="n">
        <f aca="false">AB15*Assumptions!$G$11</f>
        <v>0.459563086471076</v>
      </c>
      <c r="AC16" s="12" t="n">
        <f aca="false">AC15*Assumptions!$G$11</f>
        <v>0.482157699634173</v>
      </c>
      <c r="AD16" s="12" t="n">
        <f aca="false">AD15*Assumptions!$G$11</f>
        <v>0.508591760088056</v>
      </c>
      <c r="AE16" s="12" t="n">
        <f aca="false">AE15*Assumptions!$G$11</f>
        <v>0.533289749833901</v>
      </c>
      <c r="AF16" s="12" t="n">
        <f aca="false">AF15*Assumptions!$G$11</f>
        <v>0.556290730462638</v>
      </c>
      <c r="AG16" s="12" t="n">
        <f aca="false">AG15*Assumptions!$G$11</f>
        <v>0.578774189027229</v>
      </c>
      <c r="AH16" s="12" t="n">
        <f aca="false">AH15*Assumptions!$G$11</f>
        <v>0.600751769774116</v>
      </c>
      <c r="AI16" s="12" t="n">
        <f aca="false">AI15*Assumptions!$G$11</f>
        <v>0.622234854954198</v>
      </c>
      <c r="AJ16" s="12" t="n">
        <f aca="false">AJ15*Assumptions!$G$11</f>
        <v>0.643234570717729</v>
      </c>
      <c r="AK16" s="12" t="n">
        <f aca="false">AK15*Assumptions!$G$11</f>
        <v>0.66376179287658</v>
      </c>
      <c r="AL16" s="12" t="n">
        <f aca="false">AL15*Assumptions!$G$11</f>
        <v>0.683827152536857</v>
      </c>
      <c r="AM16" s="12" t="n">
        <f aca="false">AM15*Assumptions!$G$11</f>
        <v>0.703441041604778</v>
      </c>
      <c r="AN16" s="12" t="n">
        <f aca="false">AN15*Assumptions!$G$11</f>
        <v>0.72261361816867</v>
      </c>
      <c r="AO16" s="12" t="n">
        <f aca="false">AO15*Assumptions!$G$11</f>
        <v>0.741354811759875</v>
      </c>
      <c r="AP16" s="12" t="n">
        <f aca="false">AP15*Assumptions!$G$11</f>
        <v>0.759674328495278</v>
      </c>
      <c r="AQ16" s="12" t="n">
        <f aca="false">AQ15*Assumptions!$G$11</f>
        <v>0.777581656104134</v>
      </c>
    </row>
    <row r="17" customFormat="false" ht="15" hidden="false" customHeight="false" outlineLevel="0" collapsed="false">
      <c r="A17" s="5" t="s">
        <v>93</v>
      </c>
      <c r="B17" s="12" t="n">
        <f aca="false">B15*Assumptions!$G$14</f>
        <v>0</v>
      </c>
      <c r="C17" s="12" t="n">
        <f aca="false">C15*Assumptions!$G$14</f>
        <v>0</v>
      </c>
      <c r="D17" s="12" t="n">
        <f aca="false">D15*Assumptions!$G$14</f>
        <v>0</v>
      </c>
      <c r="E17" s="12" t="n">
        <f aca="false">E15*Assumptions!$G$14</f>
        <v>0</v>
      </c>
      <c r="F17" s="12" t="n">
        <f aca="false">F15*Assumptions!$G$14</f>
        <v>0</v>
      </c>
      <c r="G17" s="12" t="n">
        <f aca="false">G15*Assumptions!$G$14</f>
        <v>0</v>
      </c>
      <c r="H17" s="12" t="n">
        <f aca="false">H15*Assumptions!$G$14</f>
        <v>0</v>
      </c>
      <c r="I17" s="12" t="n">
        <f aca="false">I15*Assumptions!$G$14</f>
        <v>0.049</v>
      </c>
      <c r="J17" s="12" t="n">
        <f aca="false">J15*Assumptions!$G$14</f>
        <v>0.0547670652173913</v>
      </c>
      <c r="K17" s="12" t="n">
        <f aca="false">K15*Assumptions!$G$14</f>
        <v>0.0670130671195652</v>
      </c>
      <c r="L17" s="12" t="n">
        <f aca="false">L15*Assumptions!$G$14</f>
        <v>0.0787226644137228</v>
      </c>
      <c r="M17" s="12" t="n">
        <f aca="false">M15*Assumptions!$G$14</f>
        <v>0.0899079262035445</v>
      </c>
      <c r="N17" s="12" t="n">
        <f aca="false">N15*Assumptions!$G$14</f>
        <v>0.100580650037878</v>
      </c>
      <c r="O17" s="12" t="n">
        <f aca="false">O15*Assumptions!$G$14</f>
        <v>0.116969759325069</v>
      </c>
      <c r="P17" s="12" t="n">
        <f aca="false">P15*Assumptions!$G$14</f>
        <v>0.132598809305472</v>
      </c>
      <c r="Q17" s="12" t="n">
        <f aca="false">Q15*Assumptions!$G$14</f>
        <v>0.147484901313491</v>
      </c>
      <c r="R17" s="12" t="n">
        <f aca="false">R15*Assumptions!$G$14</f>
        <v>0.161644751903502</v>
      </c>
      <c r="S17" s="12" t="n">
        <f aca="false">S15*Assumptions!$G$14</f>
        <v>0.180790353681326</v>
      </c>
      <c r="T17" s="12" t="n">
        <f aca="false">T15*Assumptions!$G$14</f>
        <v>0.198983440288713</v>
      </c>
      <c r="U17" s="12" t="n">
        <f aca="false">U15*Assumptions!$G$14</f>
        <v>0.221680225925695</v>
      </c>
      <c r="V17" s="12" t="n">
        <f aca="false">V15*Assumptions!$G$14</f>
        <v>0.243214159972802</v>
      </c>
      <c r="W17" s="12" t="n">
        <f aca="false">W15*Assumptions!$G$14</f>
        <v>0.263611406590805</v>
      </c>
      <c r="X17" s="12" t="n">
        <f aca="false">X15*Assumptions!$G$14</f>
        <v>0.28289754124686</v>
      </c>
      <c r="Y17" s="12" t="n">
        <f aca="false">Y15*Assumptions!$G$14</f>
        <v>0.306010607438371</v>
      </c>
      <c r="Z17" s="12" t="n">
        <f aca="false">Z15*Assumptions!$G$14</f>
        <v>0.32782102094492</v>
      </c>
      <c r="AA17" s="12" t="n">
        <f aca="false">AA15*Assumptions!$G$14</f>
        <v>0.348358091451921</v>
      </c>
      <c r="AB17" s="12" t="n">
        <f aca="false">AB15*Assumptions!$G$14</f>
        <v>0.367650469176861</v>
      </c>
      <c r="AC17" s="12" t="n">
        <f aca="false">AC15*Assumptions!$G$14</f>
        <v>0.385726159707338</v>
      </c>
      <c r="AD17" s="12" t="n">
        <f aca="false">AD15*Assumptions!$G$14</f>
        <v>0.406873408070445</v>
      </c>
      <c r="AE17" s="12" t="n">
        <f aca="false">AE15*Assumptions!$G$14</f>
        <v>0.426631799867121</v>
      </c>
      <c r="AF17" s="12" t="n">
        <f aca="false">AF15*Assumptions!$G$14</f>
        <v>0.44503258437011</v>
      </c>
      <c r="AG17" s="12" t="n">
        <f aca="false">AG15*Assumptions!$G$14</f>
        <v>0.463019351221783</v>
      </c>
      <c r="AH17" s="12" t="n">
        <f aca="false">AH15*Assumptions!$G$14</f>
        <v>0.480601415819293</v>
      </c>
      <c r="AI17" s="12" t="n">
        <f aca="false">AI15*Assumptions!$G$14</f>
        <v>0.497787883963359</v>
      </c>
      <c r="AJ17" s="12" t="n">
        <f aca="false">AJ15*Assumptions!$G$14</f>
        <v>0.514587656574183</v>
      </c>
      <c r="AK17" s="12" t="n">
        <f aca="false">AK15*Assumptions!$G$14</f>
        <v>0.531009434301264</v>
      </c>
      <c r="AL17" s="12" t="n">
        <f aca="false">AL15*Assumptions!$G$14</f>
        <v>0.547061722029485</v>
      </c>
      <c r="AM17" s="12" t="n">
        <f aca="false">AM15*Assumptions!$G$14</f>
        <v>0.562752833283822</v>
      </c>
      <c r="AN17" s="12" t="n">
        <f aca="false">AN15*Assumptions!$G$14</f>
        <v>0.578090894534936</v>
      </c>
      <c r="AO17" s="12" t="n">
        <f aca="false">AO15*Assumptions!$G$14</f>
        <v>0.5930838494079</v>
      </c>
      <c r="AP17" s="12" t="n">
        <f aca="false">AP15*Assumptions!$G$14</f>
        <v>0.607739462796222</v>
      </c>
      <c r="AQ17" s="12" t="n">
        <f aca="false">AQ15*Assumptions!$G$14</f>
        <v>0.622065324883307</v>
      </c>
    </row>
    <row r="18" customFormat="false" ht="15" hidden="false" customHeight="false" outlineLevel="0" collapsed="false">
      <c r="A18" s="5" t="s">
        <v>94</v>
      </c>
      <c r="B18" s="12" t="n">
        <f aca="false">B15+B14-B16-B17</f>
        <v>0</v>
      </c>
      <c r="C18" s="12" t="n">
        <f aca="false">C15+C14-C16-C17</f>
        <v>0</v>
      </c>
      <c r="D18" s="12" t="n">
        <f aca="false">D15+D14-D16-D17</f>
        <v>0</v>
      </c>
      <c r="E18" s="12" t="n">
        <f aca="false">E15+E14-E16-E17</f>
        <v>0</v>
      </c>
      <c r="F18" s="12" t="n">
        <f aca="false">F15+F14-F16-F17</f>
        <v>0</v>
      </c>
      <c r="G18" s="12" t="n">
        <f aca="false">G15+G14-G16-G17</f>
        <v>0</v>
      </c>
      <c r="H18" s="12" t="n">
        <f aca="false">H15+H14-H16-H17</f>
        <v>4.9</v>
      </c>
      <c r="I18" s="12" t="n">
        <f aca="false">I15+I14-I16-I17</f>
        <v>5.47670652173913</v>
      </c>
      <c r="J18" s="12" t="n">
        <f aca="false">J15+J14-J16-J17</f>
        <v>6.70130671195652</v>
      </c>
      <c r="K18" s="12" t="n">
        <f aca="false">K15+K14-K16-K17</f>
        <v>7.87226644137228</v>
      </c>
      <c r="L18" s="12" t="n">
        <f aca="false">L15+L14-L16-L17</f>
        <v>8.99079262035445</v>
      </c>
      <c r="M18" s="12" t="n">
        <f aca="false">M15+M14-M16-M17</f>
        <v>10.0580650037878</v>
      </c>
      <c r="N18" s="12" t="n">
        <f aca="false">N15+N14-N16-N17</f>
        <v>11.6969759325069</v>
      </c>
      <c r="O18" s="12" t="n">
        <f aca="false">O15+O14-O16-O17</f>
        <v>13.2598809305472</v>
      </c>
      <c r="P18" s="12" t="n">
        <f aca="false">P15+P14-P16-P17</f>
        <v>14.7484901313491</v>
      </c>
      <c r="Q18" s="12" t="n">
        <f aca="false">Q15+Q14-Q16-Q17</f>
        <v>16.1644751903502</v>
      </c>
      <c r="R18" s="12" t="n">
        <f aca="false">R15+R14-R16-R17</f>
        <v>18.0790353681326</v>
      </c>
      <c r="S18" s="12" t="n">
        <f aca="false">S15+S14-S16-S17</f>
        <v>19.8983440288713</v>
      </c>
      <c r="T18" s="12" t="n">
        <f aca="false">T15+T14-T16-T17</f>
        <v>22.1680225925695</v>
      </c>
      <c r="U18" s="12" t="n">
        <f aca="false">U15+U14-U16-U17</f>
        <v>24.3214159972802</v>
      </c>
      <c r="V18" s="12" t="n">
        <f aca="false">V15+V14-V16-V17</f>
        <v>26.3611406590805</v>
      </c>
      <c r="W18" s="12" t="n">
        <f aca="false">W15+W14-W16-W17</f>
        <v>28.289754124686</v>
      </c>
      <c r="X18" s="12" t="n">
        <f aca="false">X15+X14-X16-X17</f>
        <v>30.6010607438371</v>
      </c>
      <c r="Y18" s="12" t="n">
        <f aca="false">Y15+Y14-Y16-Y17</f>
        <v>32.782102094492</v>
      </c>
      <c r="Z18" s="12" t="n">
        <f aca="false">Z15+Z14-Z16-Z17</f>
        <v>34.8358091451921</v>
      </c>
      <c r="AA18" s="12" t="n">
        <f aca="false">AA15+AA14-AA16-AA17</f>
        <v>36.7650469176861</v>
      </c>
      <c r="AB18" s="12" t="n">
        <f aca="false">AB15+AB14-AB16-AB17</f>
        <v>38.5726159707338</v>
      </c>
      <c r="AC18" s="12" t="n">
        <f aca="false">AC15+AC14-AC16-AC17</f>
        <v>40.6873408070445</v>
      </c>
      <c r="AD18" s="12" t="n">
        <f aca="false">AD15+AD14-AD16-AD17</f>
        <v>42.6631799867121</v>
      </c>
      <c r="AE18" s="12" t="n">
        <f aca="false">AE15+AE14-AE16-AE17</f>
        <v>44.503258437011</v>
      </c>
      <c r="AF18" s="12" t="n">
        <f aca="false">AF15+AF14-AF16-AF17</f>
        <v>46.3019351221783</v>
      </c>
      <c r="AG18" s="12" t="n">
        <f aca="false">AG15+AG14-AG16-AG17</f>
        <v>48.0601415819293</v>
      </c>
      <c r="AH18" s="12" t="n">
        <f aca="false">AH15+AH14-AH16-AH17</f>
        <v>49.7787883963359</v>
      </c>
      <c r="AI18" s="12" t="n">
        <f aca="false">AI15+AI14-AI16-AI17</f>
        <v>51.4587656574183</v>
      </c>
      <c r="AJ18" s="12" t="n">
        <f aca="false">AJ15+AJ14-AJ16-AJ17</f>
        <v>53.1009434301264</v>
      </c>
      <c r="AK18" s="12" t="n">
        <f aca="false">AK15+AK14-AK16-AK17</f>
        <v>54.7061722029485</v>
      </c>
      <c r="AL18" s="12" t="n">
        <f aca="false">AL15+AL14-AL16-AL17</f>
        <v>56.2752833283822</v>
      </c>
      <c r="AM18" s="12" t="n">
        <f aca="false">AM15+AM14-AM16-AM17</f>
        <v>57.8090894534936</v>
      </c>
      <c r="AN18" s="12" t="n">
        <f aca="false">AN15+AN14-AN16-AN17</f>
        <v>59.30838494079</v>
      </c>
      <c r="AO18" s="12" t="n">
        <f aca="false">AO15+AO14-AO16-AO17</f>
        <v>60.7739462796222</v>
      </c>
      <c r="AP18" s="12" t="n">
        <f aca="false">AP15+AP14-AP16-AP17</f>
        <v>62.2065324883307</v>
      </c>
      <c r="AQ18" s="12" t="n">
        <f aca="false">AQ15+AQ14-AQ16-AQ17</f>
        <v>63.6068855073433</v>
      </c>
    </row>
    <row r="19" customFormat="false" ht="15" hidden="false" customHeight="false" outlineLevel="0" collapsed="false">
      <c r="A19" s="5" t="s">
        <v>95</v>
      </c>
      <c r="B19" s="12" t="n">
        <v>0</v>
      </c>
      <c r="C19" s="12" t="n">
        <f aca="false">B21</f>
        <v>0</v>
      </c>
      <c r="D19" s="12" t="n">
        <f aca="false">C21</f>
        <v>0</v>
      </c>
      <c r="E19" s="12" t="n">
        <f aca="false">D21</f>
        <v>0</v>
      </c>
      <c r="F19" s="12" t="n">
        <f aca="false">E21</f>
        <v>0</v>
      </c>
      <c r="G19" s="12" t="n">
        <f aca="false">F21</f>
        <v>0</v>
      </c>
      <c r="H19" s="12" t="n">
        <f aca="false">G21</f>
        <v>0</v>
      </c>
      <c r="I19" s="12" t="n">
        <f aca="false">H21</f>
        <v>2.1</v>
      </c>
      <c r="J19" s="12" t="n">
        <f aca="false">I21</f>
        <v>2.43579347826087</v>
      </c>
      <c r="K19" s="12" t="n">
        <f aca="false">J21</f>
        <v>3.11228703804348</v>
      </c>
      <c r="L19" s="12" t="n">
        <f aca="false">K21</f>
        <v>3.81865738675272</v>
      </c>
      <c r="M19" s="12" t="n">
        <f aca="false">L21</f>
        <v>4.55399465991899</v>
      </c>
      <c r="N19" s="12" t="n">
        <f aca="false">M21</f>
        <v>5.31741243548224</v>
      </c>
      <c r="O19" s="12" t="n">
        <f aca="false">N21</f>
        <v>6.48630803877224</v>
      </c>
      <c r="P19" s="12" t="n">
        <f aca="false">O21</f>
        <v>7.69611199109092</v>
      </c>
      <c r="Q19" s="12" t="n">
        <f aca="false">P21</f>
        <v>8.94555287876862</v>
      </c>
      <c r="R19" s="12" t="n">
        <f aca="false">Q21</f>
        <v>10.233392282141</v>
      </c>
      <c r="S19" s="12" t="n">
        <f aca="false">R21</f>
        <v>11.9888587609525</v>
      </c>
      <c r="T19" s="12" t="n">
        <f aca="false">S21</f>
        <v>13.7937014236002</v>
      </c>
      <c r="U19" s="12" t="n">
        <f aca="false">T21</f>
        <v>16.1028722917461</v>
      </c>
      <c r="V19" s="12" t="n">
        <f aca="false">U21</f>
        <v>18.4710927009815</v>
      </c>
      <c r="W19" s="12" t="n">
        <f aca="false">V21</f>
        <v>20.8964616804529</v>
      </c>
      <c r="X19" s="12" t="n">
        <f aca="false">W21</f>
        <v>23.3771281856032</v>
      </c>
      <c r="Y19" s="12" t="n">
        <f aca="false">X21</f>
        <v>26.4199855375735</v>
      </c>
      <c r="Z19" s="12" t="n">
        <f aca="false">Y21</f>
        <v>29.5261811084009</v>
      </c>
      <c r="AA19" s="12" t="n">
        <f aca="false">Z21</f>
        <v>32.6936205176648</v>
      </c>
      <c r="AB19" s="12" t="n">
        <f aca="false">AA21</f>
        <v>35.920264874385</v>
      </c>
      <c r="AC19" s="12" t="n">
        <f aca="false">AB21</f>
        <v>39.2041294239364</v>
      </c>
      <c r="AD19" s="12" t="n">
        <f aca="false">AC21</f>
        <v>43.1171952701924</v>
      </c>
      <c r="AE19" s="12" t="n">
        <f aca="false">AD21</f>
        <v>47.0937993895593</v>
      </c>
      <c r="AF19" s="12" t="n">
        <f aca="false">AE21</f>
        <v>51.1317586970569</v>
      </c>
      <c r="AG19" s="12" t="n">
        <f aca="false">AF21</f>
        <v>55.1376442977138</v>
      </c>
      <c r="AH19" s="12" t="n">
        <f aca="false">AG21</f>
        <v>59.1114430952142</v>
      </c>
      <c r="AI19" s="12" t="n">
        <f aca="false">AH21</f>
        <v>63.0531514723433</v>
      </c>
      <c r="AJ19" s="12" t="n">
        <f aca="false">AI21</f>
        <v>66.9627749629024</v>
      </c>
      <c r="AK19" s="12" t="n">
        <f aca="false">AJ21</f>
        <v>70.8403279324403</v>
      </c>
      <c r="AL19" s="12" t="n">
        <f aca="false">AK21</f>
        <v>74.6858332675861</v>
      </c>
      <c r="AM19" s="12" t="n">
        <f aca="false">AL21</f>
        <v>78.4993220737707</v>
      </c>
      <c r="AN19" s="12" t="n">
        <f aca="false">AM21</f>
        <v>82.2808333811324</v>
      </c>
      <c r="AO19" s="12" t="n">
        <f aca="false">AN21</f>
        <v>86.0304138584032</v>
      </c>
      <c r="AP19" s="12" t="n">
        <f aca="false">AO21</f>
        <v>89.7481175345811</v>
      </c>
      <c r="AQ19" s="12" t="n">
        <f aca="false">AP21</f>
        <v>93.434005528195</v>
      </c>
    </row>
    <row r="20" customFormat="false" ht="15" hidden="false" customHeight="false" outlineLevel="0" collapsed="false">
      <c r="A20" s="5" t="s">
        <v>96</v>
      </c>
      <c r="B20" s="12" t="n">
        <f aca="false">B19*Assumptions!$G$11</f>
        <v>0</v>
      </c>
      <c r="C20" s="12" t="n">
        <f aca="false">C19*Assumptions!$G$11</f>
        <v>0</v>
      </c>
      <c r="D20" s="12" t="n">
        <f aca="false">D19*Assumptions!$G$11</f>
        <v>0</v>
      </c>
      <c r="E20" s="12" t="n">
        <f aca="false">E19*Assumptions!$G$11</f>
        <v>0</v>
      </c>
      <c r="F20" s="12" t="n">
        <f aca="false">F19*Assumptions!$G$11</f>
        <v>0</v>
      </c>
      <c r="G20" s="12" t="n">
        <f aca="false">G19*Assumptions!$G$11</f>
        <v>0</v>
      </c>
      <c r="H20" s="12" t="n">
        <f aca="false">H19*Assumptions!$G$11</f>
        <v>0</v>
      </c>
      <c r="I20" s="12" t="n">
        <f aca="false">I19*Assumptions!$G$11</f>
        <v>0.02625</v>
      </c>
      <c r="J20" s="12" t="n">
        <f aca="false">J19*Assumptions!$G$11</f>
        <v>0.0304474184782609</v>
      </c>
      <c r="K20" s="12" t="n">
        <f aca="false">K19*Assumptions!$G$11</f>
        <v>0.0389035879755435</v>
      </c>
      <c r="L20" s="12" t="n">
        <f aca="false">L19*Assumptions!$G$11</f>
        <v>0.047733217334409</v>
      </c>
      <c r="M20" s="12" t="n">
        <f aca="false">M19*Assumptions!$G$11</f>
        <v>0.0569249332489874</v>
      </c>
      <c r="N20" s="12" t="n">
        <f aca="false">N19*Assumptions!$G$11</f>
        <v>0.066467655443528</v>
      </c>
      <c r="O20" s="12" t="n">
        <f aca="false">O19*Assumptions!$G$11</f>
        <v>0.081078850484653</v>
      </c>
      <c r="P20" s="12" t="n">
        <f aca="false">P19*Assumptions!$G$11</f>
        <v>0.0962013998886365</v>
      </c>
      <c r="Q20" s="12" t="n">
        <f aca="false">Q19*Assumptions!$G$11</f>
        <v>0.111819410984608</v>
      </c>
      <c r="R20" s="12" t="n">
        <f aca="false">R19*Assumptions!$G$11</f>
        <v>0.127917403526762</v>
      </c>
      <c r="S20" s="12" t="n">
        <f aca="false">S19*Assumptions!$G$11</f>
        <v>0.149860734511906</v>
      </c>
      <c r="T20" s="12" t="n">
        <f aca="false">T19*Assumptions!$G$11</f>
        <v>0.172421267795002</v>
      </c>
      <c r="U20" s="12" t="n">
        <f aca="false">U19*Assumptions!$G$11</f>
        <v>0.201285903646826</v>
      </c>
      <c r="V20" s="12" t="n">
        <f aca="false">V19*Assumptions!$G$11</f>
        <v>0.230888658762268</v>
      </c>
      <c r="W20" s="12" t="n">
        <f aca="false">W19*Assumptions!$G$11</f>
        <v>0.261205771005661</v>
      </c>
      <c r="X20" s="12" t="n">
        <f aca="false">X19*Assumptions!$G$11</f>
        <v>0.29221410232004</v>
      </c>
      <c r="Y20" s="12" t="n">
        <f aca="false">Y19*Assumptions!$G$11</f>
        <v>0.330249819219669</v>
      </c>
      <c r="Z20" s="12" t="n">
        <f aca="false">Z19*Assumptions!$G$11</f>
        <v>0.369077263855012</v>
      </c>
      <c r="AA20" s="12" t="n">
        <f aca="false">AA19*Assumptions!$G$11</f>
        <v>0.408670256470809</v>
      </c>
      <c r="AB20" s="12" t="n">
        <f aca="false">AB19*Assumptions!$G$11</f>
        <v>0.449003310929812</v>
      </c>
      <c r="AC20" s="12" t="n">
        <f aca="false">AC19*Assumptions!$G$11</f>
        <v>0.490051617799205</v>
      </c>
      <c r="AD20" s="12" t="n">
        <f aca="false">AD19*Assumptions!$G$11</f>
        <v>0.538964940877404</v>
      </c>
      <c r="AE20" s="12" t="n">
        <f aca="false">AE19*Assumptions!$G$11</f>
        <v>0.588672492369491</v>
      </c>
      <c r="AF20" s="12" t="n">
        <f aca="false">AF19*Assumptions!$G$11</f>
        <v>0.639146983713212</v>
      </c>
      <c r="AG20" s="12" t="n">
        <f aca="false">AG19*Assumptions!$G$11</f>
        <v>0.689220553721423</v>
      </c>
      <c r="AH20" s="12" t="n">
        <f aca="false">AH19*Assumptions!$G$11</f>
        <v>0.738893038690178</v>
      </c>
      <c r="AI20" s="12" t="n">
        <f aca="false">AI19*Assumptions!$G$11</f>
        <v>0.788164393404292</v>
      </c>
      <c r="AJ20" s="12" t="n">
        <f aca="false">AJ19*Assumptions!$G$11</f>
        <v>0.83703468703628</v>
      </c>
      <c r="AK20" s="12" t="n">
        <f aca="false">AK19*Assumptions!$G$11</f>
        <v>0.885504099155504</v>
      </c>
      <c r="AL20" s="12" t="n">
        <f aca="false">AL19*Assumptions!$G$11</f>
        <v>0.933572915844826</v>
      </c>
      <c r="AM20" s="12" t="n">
        <f aca="false">AM19*Assumptions!$G$11</f>
        <v>0.981241525922134</v>
      </c>
      <c r="AN20" s="12" t="n">
        <f aca="false">AN19*Assumptions!$G$11</f>
        <v>1.02851041726416</v>
      </c>
      <c r="AO20" s="12" t="n">
        <f aca="false">AO19*Assumptions!$G$11</f>
        <v>1.07538017323004</v>
      </c>
      <c r="AP20" s="12" t="n">
        <f aca="false">AP19*Assumptions!$G$11</f>
        <v>1.12185146918226</v>
      </c>
      <c r="AQ20" s="12" t="n">
        <f aca="false">AQ19*Assumptions!$G$11</f>
        <v>1.16792506910244</v>
      </c>
    </row>
    <row r="21" customFormat="false" ht="15" hidden="false" customHeight="false" outlineLevel="0" collapsed="false">
      <c r="A21" s="5" t="s">
        <v>97</v>
      </c>
      <c r="B21" s="12" t="n">
        <f aca="false">B19+B13+B17-B20</f>
        <v>0</v>
      </c>
      <c r="C21" s="12" t="n">
        <f aca="false">C19+C13+C17-C20</f>
        <v>0</v>
      </c>
      <c r="D21" s="12" t="n">
        <f aca="false">D19+D13+D17-D20</f>
        <v>0</v>
      </c>
      <c r="E21" s="12" t="n">
        <f aca="false">E19+E13+E17-E20</f>
        <v>0</v>
      </c>
      <c r="F21" s="12" t="n">
        <f aca="false">F19+F13+F17-F20</f>
        <v>0</v>
      </c>
      <c r="G21" s="12" t="n">
        <f aca="false">G19+G13+G17-G20</f>
        <v>0</v>
      </c>
      <c r="H21" s="12" t="n">
        <f aca="false">H19+H13+H17-H20</f>
        <v>2.1</v>
      </c>
      <c r="I21" s="12" t="n">
        <f aca="false">I19+I13+I17-I20</f>
        <v>2.43579347826087</v>
      </c>
      <c r="J21" s="12" t="n">
        <f aca="false">J19+J13+J17-J20</f>
        <v>3.11228703804348</v>
      </c>
      <c r="K21" s="12" t="n">
        <f aca="false">K19+K13+K17-K20</f>
        <v>3.81865738675272</v>
      </c>
      <c r="L21" s="12" t="n">
        <f aca="false">L19+L13+L17-L20</f>
        <v>4.55399465991899</v>
      </c>
      <c r="M21" s="12" t="n">
        <f aca="false">M19+M13+M17-M20</f>
        <v>5.31741243548224</v>
      </c>
      <c r="N21" s="12" t="n">
        <f aca="false">N19+N13+N17-N20</f>
        <v>6.48630803877224</v>
      </c>
      <c r="O21" s="12" t="n">
        <f aca="false">O19+O13+O17-O20</f>
        <v>7.69611199109092</v>
      </c>
      <c r="P21" s="12" t="n">
        <f aca="false">P19+P13+P17-P20</f>
        <v>8.94555287876862</v>
      </c>
      <c r="Q21" s="12" t="n">
        <f aca="false">Q19+Q13+Q17-Q20</f>
        <v>10.233392282141</v>
      </c>
      <c r="R21" s="12" t="n">
        <f aca="false">R19+R13+R17-R20</f>
        <v>11.9888587609525</v>
      </c>
      <c r="S21" s="12" t="n">
        <f aca="false">S19+S13+S17-S20</f>
        <v>13.7937014236002</v>
      </c>
      <c r="T21" s="12" t="n">
        <f aca="false">T19+T13+T17-T20</f>
        <v>16.1028722917461</v>
      </c>
      <c r="U21" s="12" t="n">
        <f aca="false">U19+U13+U17-U20</f>
        <v>18.4710927009815</v>
      </c>
      <c r="V21" s="12" t="n">
        <f aca="false">V19+V13+V17-V20</f>
        <v>20.8964616804529</v>
      </c>
      <c r="W21" s="12" t="n">
        <f aca="false">W19+W13+W17-W20</f>
        <v>23.3771281856032</v>
      </c>
      <c r="X21" s="12" t="n">
        <f aca="false">X19+X13+X17-X20</f>
        <v>26.4199855375735</v>
      </c>
      <c r="Y21" s="12" t="n">
        <f aca="false">Y19+Y13+Y17-Y20</f>
        <v>29.5261811084009</v>
      </c>
      <c r="Z21" s="12" t="n">
        <f aca="false">Z19+Z13+Z17-Z20</f>
        <v>32.6936205176648</v>
      </c>
      <c r="AA21" s="12" t="n">
        <f aca="false">AA19+AA13+AA17-AA20</f>
        <v>35.920264874385</v>
      </c>
      <c r="AB21" s="12" t="n">
        <f aca="false">AB19+AB13+AB17-AB20</f>
        <v>39.2041294239364</v>
      </c>
      <c r="AC21" s="12" t="n">
        <f aca="false">AC19+AC13+AC17-AC20</f>
        <v>43.1171952701924</v>
      </c>
      <c r="AD21" s="12" t="n">
        <f aca="false">AD19+AD13+AD17-AD20</f>
        <v>47.0937993895593</v>
      </c>
      <c r="AE21" s="12" t="n">
        <f aca="false">AE19+AE13+AE17-AE20</f>
        <v>51.1317586970569</v>
      </c>
      <c r="AF21" s="12" t="n">
        <f aca="false">AF19+AF13+AF17-AF20</f>
        <v>55.1376442977138</v>
      </c>
      <c r="AG21" s="12" t="n">
        <f aca="false">AG19+AG13+AG17-AG20</f>
        <v>59.1114430952142</v>
      </c>
      <c r="AH21" s="12" t="n">
        <f aca="false">AH19+AH13+AH17-AH20</f>
        <v>63.0531514723433</v>
      </c>
      <c r="AI21" s="12" t="n">
        <f aca="false">AI19+AI13+AI17-AI20</f>
        <v>66.9627749629024</v>
      </c>
      <c r="AJ21" s="12" t="n">
        <f aca="false">AJ19+AJ13+AJ17-AJ20</f>
        <v>70.8403279324403</v>
      </c>
      <c r="AK21" s="12" t="n">
        <f aca="false">AK19+AK13+AK17-AK20</f>
        <v>74.6858332675861</v>
      </c>
      <c r="AL21" s="12" t="n">
        <f aca="false">AL19+AL13+AL17-AL20</f>
        <v>78.4993220737707</v>
      </c>
      <c r="AM21" s="12" t="n">
        <f aca="false">AM19+AM13+AM17-AM20</f>
        <v>82.2808333811324</v>
      </c>
      <c r="AN21" s="12" t="n">
        <f aca="false">AN19+AN13+AN17-AN20</f>
        <v>86.0304138584032</v>
      </c>
      <c r="AO21" s="12" t="n">
        <f aca="false">AO19+AO13+AO17-AO20</f>
        <v>89.7481175345811</v>
      </c>
      <c r="AP21" s="12" t="n">
        <f aca="false">AP19+AP13+AP17-AP20</f>
        <v>93.434005528195</v>
      </c>
      <c r="AQ21" s="12" t="n">
        <f aca="false">AQ19+AQ13+AQ17-AQ20</f>
        <v>97.0881457839759</v>
      </c>
    </row>
    <row r="22" customFormat="false" ht="15" hidden="false" customHeight="false" outlineLevel="0" collapsed="false">
      <c r="A22" s="3" t="s">
        <v>98</v>
      </c>
      <c r="B22" s="28" t="n">
        <f aca="false">B18+B21</f>
        <v>0</v>
      </c>
      <c r="C22" s="28" t="n">
        <f aca="false">C18+C21</f>
        <v>0</v>
      </c>
      <c r="D22" s="28" t="n">
        <f aca="false">D18+D21</f>
        <v>0</v>
      </c>
      <c r="E22" s="28" t="n">
        <f aca="false">E18+E21</f>
        <v>0</v>
      </c>
      <c r="F22" s="28" t="n">
        <f aca="false">F18+F21</f>
        <v>0</v>
      </c>
      <c r="G22" s="28" t="n">
        <f aca="false">G18+G21</f>
        <v>0</v>
      </c>
      <c r="H22" s="28" t="n">
        <f aca="false">H18+H21</f>
        <v>7</v>
      </c>
      <c r="I22" s="28" t="n">
        <f aca="false">I18+I21</f>
        <v>7.9125</v>
      </c>
      <c r="J22" s="28" t="n">
        <f aca="false">J18+J21</f>
        <v>9.81359375</v>
      </c>
      <c r="K22" s="28" t="n">
        <f aca="false">K18+K21</f>
        <v>11.690923828125</v>
      </c>
      <c r="L22" s="28" t="n">
        <f aca="false">L18+L21</f>
        <v>13.5447872802734</v>
      </c>
      <c r="M22" s="28" t="n">
        <f aca="false">M18+M21</f>
        <v>15.37547743927</v>
      </c>
      <c r="N22" s="28" t="n">
        <f aca="false">N18+N21</f>
        <v>18.1832839712791</v>
      </c>
      <c r="O22" s="28" t="n">
        <f aca="false">O18+O21</f>
        <v>20.9559929216382</v>
      </c>
      <c r="P22" s="28" t="n">
        <f aca="false">P18+P21</f>
        <v>23.6940430101177</v>
      </c>
      <c r="Q22" s="28" t="n">
        <f aca="false">Q18+Q21</f>
        <v>26.3978674724912</v>
      </c>
      <c r="R22" s="28" t="n">
        <f aca="false">R18+R21</f>
        <v>30.0678941290851</v>
      </c>
      <c r="S22" s="28" t="n">
        <f aca="false">S18+S21</f>
        <v>33.6920454524715</v>
      </c>
      <c r="T22" s="28" t="n">
        <f aca="false">T18+T21</f>
        <v>38.2708948843156</v>
      </c>
      <c r="U22" s="28" t="n">
        <f aca="false">U18+U21</f>
        <v>42.7925086982617</v>
      </c>
      <c r="V22" s="28" t="n">
        <f aca="false">V18+V21</f>
        <v>47.2576023395334</v>
      </c>
      <c r="W22" s="28" t="n">
        <f aca="false">W18+W21</f>
        <v>51.6668823102892</v>
      </c>
      <c r="X22" s="28" t="n">
        <f aca="false">X18+X21</f>
        <v>57.0210462814106</v>
      </c>
      <c r="Y22" s="28" t="n">
        <f aca="false">Y18+Y21</f>
        <v>62.308283202893</v>
      </c>
      <c r="Z22" s="28" t="n">
        <f aca="false">Z18+Z21</f>
        <v>67.5294296628568</v>
      </c>
      <c r="AA22" s="28" t="n">
        <f aca="false">AA18+AA21</f>
        <v>72.6853117920711</v>
      </c>
      <c r="AB22" s="28" t="n">
        <f aca="false">AB18+AB21</f>
        <v>77.7767453946702</v>
      </c>
      <c r="AC22" s="28" t="n">
        <f aca="false">AC18+AC21</f>
        <v>83.8045360772368</v>
      </c>
      <c r="AD22" s="28" t="n">
        <f aca="false">AD18+AD21</f>
        <v>89.7569793762714</v>
      </c>
      <c r="AE22" s="28" t="n">
        <f aca="false">AE18+AE21</f>
        <v>95.635017134068</v>
      </c>
      <c r="AF22" s="28" t="n">
        <f aca="false">AF18+AF21</f>
        <v>101.439579419892</v>
      </c>
      <c r="AG22" s="28" t="n">
        <f aca="false">AG18+AG21</f>
        <v>107.171584677143</v>
      </c>
      <c r="AH22" s="28" t="n">
        <f aca="false">AH18+AH21</f>
        <v>112.831939868679</v>
      </c>
      <c r="AI22" s="28" t="n">
        <f aca="false">AI18+AI21</f>
        <v>118.421540620321</v>
      </c>
      <c r="AJ22" s="28" t="n">
        <f aca="false">AJ18+AJ21</f>
        <v>123.941271362567</v>
      </c>
      <c r="AK22" s="28" t="n">
        <f aca="false">AK18+AK21</f>
        <v>129.392005470535</v>
      </c>
      <c r="AL22" s="28" t="n">
        <f aca="false">AL18+AL21</f>
        <v>134.774605402153</v>
      </c>
      <c r="AM22" s="28" t="n">
        <f aca="false">AM18+AM21</f>
        <v>140.089922834626</v>
      </c>
      <c r="AN22" s="28" t="n">
        <f aca="false">AN18+AN21</f>
        <v>145.338798799193</v>
      </c>
      <c r="AO22" s="28" t="n">
        <f aca="false">AO18+AO21</f>
        <v>150.522063814203</v>
      </c>
      <c r="AP22" s="28" t="n">
        <f aca="false">AP18+AP21</f>
        <v>155.640538016526</v>
      </c>
      <c r="AQ22" s="28" t="n">
        <f aca="false">AQ18+AQ21</f>
        <v>160.695031291319</v>
      </c>
    </row>
    <row r="23" customFormat="false" ht="15" hidden="false" customHeight="false" outlineLevel="0" collapsed="false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</row>
    <row r="24" customFormat="false" ht="15" hidden="false" customHeight="false" outlineLevel="0" collapsed="false">
      <c r="A24" s="8" t="s">
        <v>99</v>
      </c>
    </row>
    <row r="25" customFormat="false" ht="15" hidden="false" customHeight="false" outlineLevel="0" collapsed="false">
      <c r="A25" s="5" t="s">
        <v>100</v>
      </c>
      <c r="B25" s="23" t="n">
        <f aca="false">B18*Assumptions!$B$19</f>
        <v>0</v>
      </c>
      <c r="C25" s="23" t="n">
        <f aca="false">C18*Assumptions!$B$19</f>
        <v>0</v>
      </c>
      <c r="D25" s="23" t="n">
        <f aca="false">D18*Assumptions!$B$19</f>
        <v>0</v>
      </c>
      <c r="E25" s="23" t="n">
        <f aca="false">E18*Assumptions!$B$19</f>
        <v>0</v>
      </c>
      <c r="F25" s="23" t="n">
        <f aca="false">F18*Assumptions!$B$19</f>
        <v>0</v>
      </c>
      <c r="G25" s="23" t="n">
        <f aca="false">G18*Assumptions!$B$19</f>
        <v>0</v>
      </c>
      <c r="H25" s="23" t="n">
        <f aca="false">H18*Assumptions!$B$19</f>
        <v>2401</v>
      </c>
      <c r="I25" s="23" t="n">
        <f aca="false">I18*Assumptions!$B$19</f>
        <v>2683.58619565217</v>
      </c>
      <c r="J25" s="23" t="n">
        <f aca="false">J18*Assumptions!$B$19</f>
        <v>3283.6402888587</v>
      </c>
      <c r="K25" s="23" t="n">
        <f aca="false">K18*Assumptions!$B$19</f>
        <v>3857.41055627242</v>
      </c>
      <c r="L25" s="23" t="n">
        <f aca="false">L18*Assumptions!$B$19</f>
        <v>4405.48838397368</v>
      </c>
      <c r="M25" s="23" t="n">
        <f aca="false">M18*Assumptions!$B$19</f>
        <v>4928.45185185601</v>
      </c>
      <c r="N25" s="23" t="n">
        <f aca="false">N18*Assumptions!$B$19</f>
        <v>5731.51820692838</v>
      </c>
      <c r="O25" s="23" t="n">
        <f aca="false">O18*Assumptions!$B$19</f>
        <v>6497.34165596815</v>
      </c>
      <c r="P25" s="23" t="n">
        <f aca="false">P18*Assumptions!$B$19</f>
        <v>7226.76016436104</v>
      </c>
      <c r="Q25" s="23" t="n">
        <f aca="false">Q18*Assumptions!$B$19</f>
        <v>7920.59284327161</v>
      </c>
      <c r="R25" s="23" t="n">
        <f aca="false">R18*Assumptions!$B$19</f>
        <v>8858.72733038495</v>
      </c>
      <c r="S25" s="23" t="n">
        <f aca="false">S18*Assumptions!$B$19</f>
        <v>9750.18857414695</v>
      </c>
      <c r="T25" s="23" t="n">
        <f aca="false">T18*Assumptions!$B$19</f>
        <v>10862.3310703591</v>
      </c>
      <c r="U25" s="23" t="n">
        <f aca="false">U18*Assumptions!$B$19</f>
        <v>11917.4938386673</v>
      </c>
      <c r="V25" s="23" t="n">
        <f aca="false">V18*Assumptions!$B$19</f>
        <v>12916.9589229495</v>
      </c>
      <c r="W25" s="23" t="n">
        <f aca="false">W18*Assumptions!$B$19</f>
        <v>13861.9795210961</v>
      </c>
      <c r="X25" s="23" t="n">
        <f aca="false">X18*Assumptions!$B$19</f>
        <v>14994.5197644802</v>
      </c>
      <c r="Y25" s="23" t="n">
        <f aca="false">Y18*Assumptions!$B$19</f>
        <v>16063.2300263011</v>
      </c>
      <c r="Z25" s="23" t="n">
        <f aca="false">Z18*Assumptions!$B$19</f>
        <v>17069.5464811441</v>
      </c>
      <c r="AA25" s="23" t="n">
        <f aca="false">AA18*Assumptions!$B$19</f>
        <v>18014.8729896662</v>
      </c>
      <c r="AB25" s="23" t="n">
        <f aca="false">AB18*Assumptions!$B$19</f>
        <v>18900.5818256596</v>
      </c>
      <c r="AC25" s="23" t="n">
        <f aca="false">AC18*Assumptions!$B$19</f>
        <v>19936.7969954518</v>
      </c>
      <c r="AD25" s="23" t="n">
        <f aca="false">AD18*Assumptions!$B$19</f>
        <v>20904.9581934889</v>
      </c>
      <c r="AE25" s="23" t="n">
        <f aca="false">AE18*Assumptions!$B$19</f>
        <v>21806.5966341354</v>
      </c>
      <c r="AF25" s="23" t="n">
        <f aca="false">AF18*Assumptions!$B$19</f>
        <v>22687.9482098674</v>
      </c>
      <c r="AG25" s="23" t="n">
        <f aca="false">AG18*Assumptions!$B$19</f>
        <v>23549.4693751454</v>
      </c>
      <c r="AH25" s="23" t="n">
        <f aca="false">AH18*Assumptions!$B$19</f>
        <v>24391.6063142046</v>
      </c>
      <c r="AI25" s="23" t="n">
        <f aca="false">AI18*Assumptions!$B$19</f>
        <v>25214.795172135</v>
      </c>
      <c r="AJ25" s="23" t="n">
        <f aca="false">AJ18*Assumptions!$B$19</f>
        <v>26019.4622807619</v>
      </c>
      <c r="AK25" s="23" t="n">
        <f aca="false">AK18*Assumptions!$B$19</f>
        <v>26806.0243794448</v>
      </c>
      <c r="AL25" s="23" t="n">
        <f aca="false">AL18*Assumptions!$B$19</f>
        <v>27574.8888309073</v>
      </c>
      <c r="AM25" s="23" t="n">
        <f aca="false">AM18*Assumptions!$B$19</f>
        <v>28326.4538322119</v>
      </c>
      <c r="AN25" s="23" t="n">
        <f aca="false">AN18*Assumptions!$B$19</f>
        <v>29061.1086209871</v>
      </c>
      <c r="AO25" s="23" t="n">
        <f aca="false">AO18*Assumptions!$B$19</f>
        <v>29779.2336770149</v>
      </c>
      <c r="AP25" s="23" t="n">
        <f aca="false">AP18*Assumptions!$B$19</f>
        <v>30481.200919282</v>
      </c>
      <c r="AQ25" s="23" t="n">
        <f aca="false">AQ18*Assumptions!$B$19</f>
        <v>31167.3738985982</v>
      </c>
    </row>
    <row r="26" customFormat="false" ht="15" hidden="false" customHeight="false" outlineLevel="0" collapsed="false">
      <c r="A26" s="5" t="s">
        <v>101</v>
      </c>
      <c r="B26" s="23" t="n">
        <f aca="false">B21*Assumptions!$B$20</f>
        <v>0</v>
      </c>
      <c r="C26" s="23" t="n">
        <f aca="false">C21*Assumptions!$B$20</f>
        <v>0</v>
      </c>
      <c r="D26" s="23" t="n">
        <f aca="false">D21*Assumptions!$B$20</f>
        <v>0</v>
      </c>
      <c r="E26" s="23" t="n">
        <f aca="false">E21*Assumptions!$B$20</f>
        <v>0</v>
      </c>
      <c r="F26" s="23" t="n">
        <f aca="false">F21*Assumptions!$B$20</f>
        <v>0</v>
      </c>
      <c r="G26" s="23" t="n">
        <f aca="false">G21*Assumptions!$B$20</f>
        <v>0</v>
      </c>
      <c r="H26" s="23" t="n">
        <f aca="false">H21*Assumptions!$B$20</f>
        <v>3129</v>
      </c>
      <c r="I26" s="23" t="n">
        <f aca="false">I21*Assumptions!$B$20</f>
        <v>3629.3322826087</v>
      </c>
      <c r="J26" s="23" t="n">
        <f aca="false">J21*Assumptions!$B$20</f>
        <v>4637.30768668478</v>
      </c>
      <c r="K26" s="23" t="n">
        <f aca="false">K21*Assumptions!$B$20</f>
        <v>5689.79950626155</v>
      </c>
      <c r="L26" s="23" t="n">
        <f aca="false">L21*Assumptions!$B$20</f>
        <v>6785.45204327929</v>
      </c>
      <c r="M26" s="23" t="n">
        <f aca="false">M21*Assumptions!$B$20</f>
        <v>7922.94452886854</v>
      </c>
      <c r="N26" s="23" t="n">
        <f aca="false">N21*Assumptions!$B$20</f>
        <v>9664.59897777064</v>
      </c>
      <c r="O26" s="23" t="n">
        <f aca="false">O21*Assumptions!$B$20</f>
        <v>11467.2068667255</v>
      </c>
      <c r="P26" s="23" t="n">
        <f aca="false">P21*Assumptions!$B$20</f>
        <v>13328.8737893652</v>
      </c>
      <c r="Q26" s="23" t="n">
        <f aca="false">Q21*Assumptions!$B$20</f>
        <v>15247.7545003901</v>
      </c>
      <c r="R26" s="23" t="n">
        <f aca="false">R21*Assumptions!$B$20</f>
        <v>17863.3995538192</v>
      </c>
      <c r="S26" s="23" t="n">
        <f aca="false">S21*Assumptions!$B$20</f>
        <v>20552.6151211643</v>
      </c>
      <c r="T26" s="23" t="n">
        <f aca="false">T21*Assumptions!$B$20</f>
        <v>23993.2797147017</v>
      </c>
      <c r="U26" s="23" t="n">
        <f aca="false">U21*Assumptions!$B$20</f>
        <v>27521.9281244624</v>
      </c>
      <c r="V26" s="23" t="n">
        <f aca="false">V21*Assumptions!$B$20</f>
        <v>31135.7279038748</v>
      </c>
      <c r="W26" s="23" t="n">
        <f aca="false">W21*Assumptions!$B$20</f>
        <v>34831.9209965488</v>
      </c>
      <c r="X26" s="23" t="n">
        <f aca="false">X21*Assumptions!$B$20</f>
        <v>39365.7784509846</v>
      </c>
      <c r="Y26" s="23" t="n">
        <f aca="false">Y21*Assumptions!$B$20</f>
        <v>43994.0098515174</v>
      </c>
      <c r="Z26" s="23" t="n">
        <f aca="false">Z21*Assumptions!$B$20</f>
        <v>48713.4945713205</v>
      </c>
      <c r="AA26" s="23" t="n">
        <f aca="false">AA21*Assumptions!$B$20</f>
        <v>53521.1946628336</v>
      </c>
      <c r="AB26" s="23" t="n">
        <f aca="false">AB21*Assumptions!$B$20</f>
        <v>58414.1528416652</v>
      </c>
      <c r="AC26" s="23" t="n">
        <f aca="false">AC21*Assumptions!$B$20</f>
        <v>64244.6209525866</v>
      </c>
      <c r="AD26" s="23" t="n">
        <f aca="false">AD21*Assumptions!$B$20</f>
        <v>70169.7610904434</v>
      </c>
      <c r="AE26" s="23" t="n">
        <f aca="false">AE21*Assumptions!$B$20</f>
        <v>76186.3204586148</v>
      </c>
      <c r="AF26" s="23" t="n">
        <f aca="false">AF21*Assumptions!$B$20</f>
        <v>82155.0900035936</v>
      </c>
      <c r="AG26" s="23" t="n">
        <f aca="false">AG21*Assumptions!$B$20</f>
        <v>88076.0502118692</v>
      </c>
      <c r="AH26" s="23" t="n">
        <f aca="false">AH21*Assumptions!$B$20</f>
        <v>93949.1956937915</v>
      </c>
      <c r="AI26" s="23" t="n">
        <f aca="false">AI21*Assumptions!$B$20</f>
        <v>99774.5346947246</v>
      </c>
      <c r="AJ26" s="23" t="n">
        <f aca="false">AJ21*Assumptions!$B$20</f>
        <v>105552.088619336</v>
      </c>
      <c r="AK26" s="23" t="n">
        <f aca="false">AK21*Assumptions!$B$20</f>
        <v>111281.891568703</v>
      </c>
      <c r="AL26" s="23" t="n">
        <f aca="false">AL21*Assumptions!$B$20</f>
        <v>116963.989889918</v>
      </c>
      <c r="AM26" s="23" t="n">
        <f aca="false">AM21*Assumptions!$B$20</f>
        <v>122598.441737887</v>
      </c>
      <c r="AN26" s="23" t="n">
        <f aca="false">AN21*Assumptions!$B$20</f>
        <v>128185.316649021</v>
      </c>
      <c r="AO26" s="23" t="n">
        <f aca="false">AO21*Assumptions!$B$20</f>
        <v>133724.695126526</v>
      </c>
      <c r="AP26" s="23" t="n">
        <f aca="false">AP21*Assumptions!$B$20</f>
        <v>139216.668237011</v>
      </c>
      <c r="AQ26" s="23" t="n">
        <f aca="false">AQ21*Assumptions!$B$20</f>
        <v>144661.337218124</v>
      </c>
    </row>
    <row r="27" customFormat="false" ht="15" hidden="false" customHeight="false" outlineLevel="0" collapsed="false">
      <c r="A27" s="3" t="s">
        <v>102</v>
      </c>
      <c r="B27" s="30" t="n">
        <f aca="false">B25+B26</f>
        <v>0</v>
      </c>
      <c r="C27" s="30" t="n">
        <f aca="false">C25+C26</f>
        <v>0</v>
      </c>
      <c r="D27" s="30" t="n">
        <f aca="false">D25+D26</f>
        <v>0</v>
      </c>
      <c r="E27" s="30" t="n">
        <f aca="false">E25+E26</f>
        <v>0</v>
      </c>
      <c r="F27" s="30" t="n">
        <f aca="false">F25+F26</f>
        <v>0</v>
      </c>
      <c r="G27" s="30" t="n">
        <f aca="false">G25+G26</f>
        <v>0</v>
      </c>
      <c r="H27" s="30" t="n">
        <f aca="false">H25+H26</f>
        <v>5530</v>
      </c>
      <c r="I27" s="30" t="n">
        <f aca="false">I25+I26</f>
        <v>6312.91847826087</v>
      </c>
      <c r="J27" s="30" t="n">
        <f aca="false">J25+J26</f>
        <v>7920.94797554348</v>
      </c>
      <c r="K27" s="30" t="n">
        <f aca="false">K25+K26</f>
        <v>9547.21006253397</v>
      </c>
      <c r="L27" s="30" t="n">
        <f aca="false">L25+L26</f>
        <v>11190.940427253</v>
      </c>
      <c r="M27" s="30" t="n">
        <f aca="false">M25+M26</f>
        <v>12851.3963807246</v>
      </c>
      <c r="N27" s="30" t="n">
        <f aca="false">N25+N26</f>
        <v>15396.117184699</v>
      </c>
      <c r="O27" s="30" t="n">
        <f aca="false">O25+O26</f>
        <v>17964.5485226936</v>
      </c>
      <c r="P27" s="30" t="n">
        <f aca="false">P25+P26</f>
        <v>20555.6339537263</v>
      </c>
      <c r="Q27" s="30" t="n">
        <f aca="false">Q25+Q26</f>
        <v>23168.3473436617</v>
      </c>
      <c r="R27" s="30" t="n">
        <f aca="false">R25+R26</f>
        <v>26722.1268842042</v>
      </c>
      <c r="S27" s="30" t="n">
        <f aca="false">S25+S26</f>
        <v>30302.8036953112</v>
      </c>
      <c r="T27" s="30" t="n">
        <f aca="false">T25+T26</f>
        <v>34855.6107850607</v>
      </c>
      <c r="U27" s="30" t="n">
        <f aca="false">U25+U26</f>
        <v>39439.4219631297</v>
      </c>
      <c r="V27" s="30" t="n">
        <f aca="false">V25+V26</f>
        <v>44052.6868268242</v>
      </c>
      <c r="W27" s="30" t="n">
        <f aca="false">W25+W26</f>
        <v>48693.900517645</v>
      </c>
      <c r="X27" s="30" t="n">
        <f aca="false">X25+X26</f>
        <v>54360.2982154647</v>
      </c>
      <c r="Y27" s="30" t="n">
        <f aca="false">Y25+Y26</f>
        <v>60057.2398778185</v>
      </c>
      <c r="Z27" s="30" t="n">
        <f aca="false">Z25+Z26</f>
        <v>65783.0410524646</v>
      </c>
      <c r="AA27" s="30" t="n">
        <f aca="false">AA25+AA26</f>
        <v>71536.0676524998</v>
      </c>
      <c r="AB27" s="30" t="n">
        <f aca="false">AB25+AB26</f>
        <v>77314.7346673248</v>
      </c>
      <c r="AC27" s="30" t="n">
        <f aca="false">AC25+AC26</f>
        <v>84181.4179480384</v>
      </c>
      <c r="AD27" s="30" t="n">
        <f aca="false">AD25+AD26</f>
        <v>91074.7192839323</v>
      </c>
      <c r="AE27" s="30" t="n">
        <f aca="false">AE25+AE26</f>
        <v>97992.9170927502</v>
      </c>
      <c r="AF27" s="30" t="n">
        <f aca="false">AF25+AF26</f>
        <v>104843.038213461</v>
      </c>
      <c r="AG27" s="30" t="n">
        <f aca="false">AG25+AG26</f>
        <v>111625.519587015</v>
      </c>
      <c r="AH27" s="30" t="n">
        <f aca="false">AH25+AH26</f>
        <v>118340.802007996</v>
      </c>
      <c r="AI27" s="30" t="n">
        <f aca="false">AI25+AI26</f>
        <v>124989.32986686</v>
      </c>
      <c r="AJ27" s="30" t="n">
        <f aca="false">AJ25+AJ26</f>
        <v>131571.550900098</v>
      </c>
      <c r="AK27" s="30" t="n">
        <f aca="false">AK25+AK26</f>
        <v>138087.915948148</v>
      </c>
      <c r="AL27" s="30" t="n">
        <f aca="false">AL25+AL26</f>
        <v>144538.878720826</v>
      </c>
      <c r="AM27" s="30" t="n">
        <f aca="false">AM25+AM26</f>
        <v>150924.895570099</v>
      </c>
      <c r="AN27" s="30" t="n">
        <f aca="false">AN25+AN26</f>
        <v>157246.425270008</v>
      </c>
      <c r="AO27" s="30" t="n">
        <f aca="false">AO25+AO26</f>
        <v>163503.928803541</v>
      </c>
      <c r="AP27" s="30" t="n">
        <f aca="false">AP25+AP26</f>
        <v>169697.869156293</v>
      </c>
      <c r="AQ27" s="30" t="n">
        <f aca="false">AQ25+AQ26</f>
        <v>175828.711116722</v>
      </c>
    </row>
    <row r="28" customFormat="false" ht="15" hidden="false" customHeight="false" outlineLevel="0" collapsed="false">
      <c r="A28" s="3" t="s">
        <v>103</v>
      </c>
      <c r="B28" s="30" t="n">
        <f aca="false">B27*12</f>
        <v>0</v>
      </c>
      <c r="C28" s="30" t="n">
        <f aca="false">C27*12</f>
        <v>0</v>
      </c>
      <c r="D28" s="30" t="n">
        <f aca="false">D27*12</f>
        <v>0</v>
      </c>
      <c r="E28" s="30" t="n">
        <f aca="false">E27*12</f>
        <v>0</v>
      </c>
      <c r="F28" s="30" t="n">
        <f aca="false">F27*12</f>
        <v>0</v>
      </c>
      <c r="G28" s="30" t="n">
        <f aca="false">G27*12</f>
        <v>0</v>
      </c>
      <c r="H28" s="30" t="n">
        <f aca="false">H27*12</f>
        <v>66360</v>
      </c>
      <c r="I28" s="30" t="n">
        <f aca="false">I27*12</f>
        <v>75755.0217391304</v>
      </c>
      <c r="J28" s="30" t="n">
        <f aca="false">J27*12</f>
        <v>95051.3757065217</v>
      </c>
      <c r="K28" s="30" t="n">
        <f aca="false">K27*12</f>
        <v>114566.520750408</v>
      </c>
      <c r="L28" s="30" t="n">
        <f aca="false">L27*12</f>
        <v>134291.285127036</v>
      </c>
      <c r="M28" s="30" t="n">
        <f aca="false">M27*12</f>
        <v>154216.756568695</v>
      </c>
      <c r="N28" s="30" t="n">
        <f aca="false">N27*12</f>
        <v>184753.406216388</v>
      </c>
      <c r="O28" s="30" t="n">
        <f aca="false">O27*12</f>
        <v>215574.582272323</v>
      </c>
      <c r="P28" s="30" t="n">
        <f aca="false">P27*12</f>
        <v>246667.607444715</v>
      </c>
      <c r="Q28" s="30" t="n">
        <f aca="false">Q27*12</f>
        <v>278020.16812394</v>
      </c>
      <c r="R28" s="30" t="n">
        <f aca="false">R27*12</f>
        <v>320665.52261045</v>
      </c>
      <c r="S28" s="30" t="n">
        <f aca="false">S27*12</f>
        <v>363633.644343735</v>
      </c>
      <c r="T28" s="30" t="n">
        <f aca="false">T27*12</f>
        <v>418267.329420729</v>
      </c>
      <c r="U28" s="30" t="n">
        <f aca="false">U27*12</f>
        <v>473273.063557556</v>
      </c>
      <c r="V28" s="30" t="n">
        <f aca="false">V27*12</f>
        <v>528632.241921891</v>
      </c>
      <c r="W28" s="30" t="n">
        <f aca="false">W27*12</f>
        <v>584326.80621174</v>
      </c>
      <c r="X28" s="30" t="n">
        <f aca="false">X27*12</f>
        <v>652323.578585577</v>
      </c>
      <c r="Y28" s="30" t="n">
        <f aca="false">Y27*12</f>
        <v>720686.878533822</v>
      </c>
      <c r="Z28" s="30" t="n">
        <f aca="false">Z27*12</f>
        <v>789396.492629575</v>
      </c>
      <c r="AA28" s="30" t="n">
        <f aca="false">AA27*12</f>
        <v>858432.811829998</v>
      </c>
      <c r="AB28" s="30" t="n">
        <f aca="false">AB27*12</f>
        <v>927776.816007897</v>
      </c>
      <c r="AC28" s="30" t="n">
        <f aca="false">AC27*12</f>
        <v>1010177.01537646</v>
      </c>
      <c r="AD28" s="30" t="n">
        <f aca="false">AD27*12</f>
        <v>1092896.63140719</v>
      </c>
      <c r="AE28" s="30" t="n">
        <f aca="false">AE27*12</f>
        <v>1175915.005113</v>
      </c>
      <c r="AF28" s="30" t="n">
        <f aca="false">AF27*12</f>
        <v>1258116.45856153</v>
      </c>
      <c r="AG28" s="30" t="n">
        <f aca="false">AG27*12</f>
        <v>1339506.23504417</v>
      </c>
      <c r="AH28" s="30" t="n">
        <f aca="false">AH27*12</f>
        <v>1420089.62409595</v>
      </c>
      <c r="AI28" s="30" t="n">
        <f aca="false">AI27*12</f>
        <v>1499871.95840231</v>
      </c>
      <c r="AJ28" s="30" t="n">
        <f aca="false">AJ27*12</f>
        <v>1578858.61080118</v>
      </c>
      <c r="AK28" s="30" t="n">
        <f aca="false">AK27*12</f>
        <v>1657054.99137778</v>
      </c>
      <c r="AL28" s="30" t="n">
        <f aca="false">AL27*12</f>
        <v>1734466.54464991</v>
      </c>
      <c r="AM28" s="30" t="n">
        <f aca="false">AM27*12</f>
        <v>1811098.74684119</v>
      </c>
      <c r="AN28" s="30" t="n">
        <f aca="false">AN27*12</f>
        <v>1886957.10324009</v>
      </c>
      <c r="AO28" s="30" t="n">
        <f aca="false">AO27*12</f>
        <v>1962047.14564249</v>
      </c>
      <c r="AP28" s="30" t="n">
        <f aca="false">AP27*12</f>
        <v>2036374.42987551</v>
      </c>
      <c r="AQ28" s="30" t="n">
        <f aca="false">AQ27*12</f>
        <v>2109944.53340067</v>
      </c>
    </row>
    <row r="29" customFormat="false" ht="15" hidden="false" customHeight="false" outlineLevel="0" collapsed="false">
      <c r="A29" s="5" t="s">
        <v>104</v>
      </c>
      <c r="B29" s="23" t="n">
        <f aca="false">B7*Assumptions!$B$21</f>
        <v>500</v>
      </c>
      <c r="C29" s="23" t="n">
        <f aca="false">C7*Assumptions!$B$21</f>
        <v>1000</v>
      </c>
      <c r="D29" s="23" t="n">
        <f aca="false">D7*Assumptions!$B$21</f>
        <v>1250</v>
      </c>
      <c r="E29" s="23" t="n">
        <f aca="false">E7*Assumptions!$B$21</f>
        <v>1500</v>
      </c>
      <c r="F29" s="23" t="n">
        <f aca="false">F7*Assumptions!$B$21</f>
        <v>2000</v>
      </c>
      <c r="G29" s="23" t="n">
        <f aca="false">G7*Assumptions!$B$21</f>
        <v>2000</v>
      </c>
      <c r="H29" s="23" t="n">
        <f aca="false">H7*Assumptions!$B$21</f>
        <v>0</v>
      </c>
      <c r="I29" s="23" t="n">
        <f aca="false">I7*Assumptions!$B$21</f>
        <v>0</v>
      </c>
      <c r="J29" s="23" t="n">
        <f aca="false">J7*Assumptions!$B$21</f>
        <v>0</v>
      </c>
      <c r="K29" s="23" t="n">
        <f aca="false">K7*Assumptions!$B$21</f>
        <v>0</v>
      </c>
      <c r="L29" s="23" t="n">
        <f aca="false">L7*Assumptions!$B$21</f>
        <v>0</v>
      </c>
      <c r="M29" s="23" t="n">
        <f aca="false">M7*Assumptions!$B$21</f>
        <v>0</v>
      </c>
      <c r="N29" s="23" t="n">
        <f aca="false">N7*Assumptions!$B$21</f>
        <v>0</v>
      </c>
      <c r="O29" s="23" t="n">
        <f aca="false">O7*Assumptions!$B$21</f>
        <v>0</v>
      </c>
      <c r="P29" s="23" t="n">
        <f aca="false">P7*Assumptions!$B$21</f>
        <v>0</v>
      </c>
      <c r="Q29" s="23" t="n">
        <f aca="false">Q7*Assumptions!$B$21</f>
        <v>0</v>
      </c>
      <c r="R29" s="23" t="n">
        <f aca="false">R7*Assumptions!$B$21</f>
        <v>0</v>
      </c>
      <c r="S29" s="23" t="n">
        <f aca="false">S7*Assumptions!$B$21</f>
        <v>0</v>
      </c>
      <c r="T29" s="23" t="n">
        <f aca="false">T7*Assumptions!$B$21</f>
        <v>0</v>
      </c>
      <c r="U29" s="23" t="n">
        <f aca="false">U7*Assumptions!$B$21</f>
        <v>0</v>
      </c>
      <c r="V29" s="23" t="n">
        <f aca="false">V7*Assumptions!$B$21</f>
        <v>0</v>
      </c>
      <c r="W29" s="23" t="n">
        <f aca="false">W7*Assumptions!$B$21</f>
        <v>0</v>
      </c>
      <c r="X29" s="23" t="n">
        <f aca="false">X7*Assumptions!$B$21</f>
        <v>0</v>
      </c>
      <c r="Y29" s="23" t="n">
        <f aca="false">Y7*Assumptions!$B$21</f>
        <v>0</v>
      </c>
      <c r="Z29" s="23" t="n">
        <f aca="false">Z7*Assumptions!$B$21</f>
        <v>0</v>
      </c>
      <c r="AA29" s="23" t="n">
        <f aca="false">AA7*Assumptions!$B$21</f>
        <v>0</v>
      </c>
      <c r="AB29" s="23" t="n">
        <f aca="false">AB7*Assumptions!$B$21</f>
        <v>0</v>
      </c>
      <c r="AC29" s="23" t="n">
        <f aca="false">AC7*Assumptions!$B$21</f>
        <v>0</v>
      </c>
      <c r="AD29" s="23" t="n">
        <f aca="false">AD7*Assumptions!$B$21</f>
        <v>0</v>
      </c>
      <c r="AE29" s="23" t="n">
        <f aca="false">AE7*Assumptions!$B$21</f>
        <v>0</v>
      </c>
      <c r="AF29" s="23" t="n">
        <f aca="false">AF7*Assumptions!$B$21</f>
        <v>0</v>
      </c>
      <c r="AG29" s="23" t="n">
        <f aca="false">AG7*Assumptions!$B$21</f>
        <v>0</v>
      </c>
      <c r="AH29" s="23" t="n">
        <f aca="false">AH7*Assumptions!$B$21</f>
        <v>0</v>
      </c>
      <c r="AI29" s="23" t="n">
        <f aca="false">AI7*Assumptions!$B$21</f>
        <v>0</v>
      </c>
      <c r="AJ29" s="23" t="n">
        <f aca="false">AJ7*Assumptions!$B$21</f>
        <v>0</v>
      </c>
      <c r="AK29" s="23" t="n">
        <f aca="false">AK7*Assumptions!$B$21</f>
        <v>0</v>
      </c>
      <c r="AL29" s="23" t="n">
        <f aca="false">AL7*Assumptions!$B$21</f>
        <v>0</v>
      </c>
      <c r="AM29" s="23" t="n">
        <f aca="false">AM7*Assumptions!$B$21</f>
        <v>0</v>
      </c>
      <c r="AN29" s="23" t="n">
        <f aca="false">AN7*Assumptions!$B$21</f>
        <v>0</v>
      </c>
      <c r="AO29" s="23" t="n">
        <f aca="false">AO7*Assumptions!$B$21</f>
        <v>0</v>
      </c>
      <c r="AP29" s="23" t="n">
        <f aca="false">AP7*Assumptions!$B$21</f>
        <v>0</v>
      </c>
      <c r="AQ29" s="23" t="n">
        <f aca="false">AQ7*Assumptions!$B$21</f>
        <v>0</v>
      </c>
    </row>
    <row r="30" customFormat="false" ht="15" hidden="false" customHeight="false" outlineLevel="0" collapsed="false">
      <c r="A30" s="5" t="s">
        <v>105</v>
      </c>
      <c r="B30" s="23" t="n">
        <f aca="false">B10*(B12*Assumptions!$B$23+(1-B12)*Assumptions!$B$22)+B8*Assumptions!$B$24</f>
        <v>0</v>
      </c>
      <c r="C30" s="23" t="n">
        <f aca="false">C10*(C12*Assumptions!$B$23+(1-C12)*Assumptions!$B$22)+C8*Assumptions!$B$24</f>
        <v>0</v>
      </c>
      <c r="D30" s="23" t="n">
        <f aca="false">D10*(D12*Assumptions!$B$23+(1-D12)*Assumptions!$B$22)+D8*Assumptions!$B$24</f>
        <v>0</v>
      </c>
      <c r="E30" s="23" t="n">
        <f aca="false">E10*(E12*Assumptions!$B$23+(1-E12)*Assumptions!$B$22)+E8*Assumptions!$B$24</f>
        <v>0</v>
      </c>
      <c r="F30" s="23" t="n">
        <f aca="false">F10*(F12*Assumptions!$B$23+(1-F12)*Assumptions!$B$22)+F8*Assumptions!$B$24</f>
        <v>0</v>
      </c>
      <c r="G30" s="23" t="n">
        <f aca="false">G10*(G12*Assumptions!$B$23+(1-G12)*Assumptions!$B$22)+G8*Assumptions!$B$24</f>
        <v>0</v>
      </c>
      <c r="H30" s="23" t="n">
        <f aca="false">H10*(H12*Assumptions!$B$23+(1-H12)*Assumptions!$B$22)+H8*Assumptions!$B$24</f>
        <v>9250</v>
      </c>
      <c r="I30" s="23" t="n">
        <f aca="false">I10*(I12*Assumptions!$B$23+(1-I12)*Assumptions!$B$22)+I8*Assumptions!$B$24</f>
        <v>3282.60869565217</v>
      </c>
      <c r="J30" s="23" t="n">
        <f aca="false">J10*(J12*Assumptions!$B$23+(1-J12)*Assumptions!$B$22)+J8*Assumptions!$B$24</f>
        <v>6630.4347826087</v>
      </c>
      <c r="K30" s="23" t="n">
        <f aca="false">K10*(K12*Assumptions!$B$23+(1-K12)*Assumptions!$B$22)+K8*Assumptions!$B$24</f>
        <v>6695.65217391304</v>
      </c>
      <c r="L30" s="23" t="n">
        <f aca="false">L10*(L12*Assumptions!$B$23+(1-L12)*Assumptions!$B$22)+L8*Assumptions!$B$24</f>
        <v>6760.86956521739</v>
      </c>
      <c r="M30" s="23" t="n">
        <f aca="false">M10*(M12*Assumptions!$B$23+(1-M12)*Assumptions!$B$22)+M8*Assumptions!$B$24</f>
        <v>6826.08695652174</v>
      </c>
      <c r="N30" s="23" t="n">
        <f aca="false">N10*(N12*Assumptions!$B$23+(1-N12)*Assumptions!$B$22)+N8*Assumptions!$B$24</f>
        <v>10336.9565217391</v>
      </c>
      <c r="O30" s="23" t="n">
        <f aca="false">O10*(O12*Assumptions!$B$23+(1-O12)*Assumptions!$B$22)+O8*Assumptions!$B$24</f>
        <v>10434.7826086957</v>
      </c>
      <c r="P30" s="23" t="n">
        <f aca="false">P10*(P12*Assumptions!$B$23+(1-P12)*Assumptions!$B$22)+P8*Assumptions!$B$24</f>
        <v>10532.6086956522</v>
      </c>
      <c r="Q30" s="23" t="n">
        <f aca="false">Q10*(Q12*Assumptions!$B$23+(1-Q12)*Assumptions!$B$22)+Q8*Assumptions!$B$24</f>
        <v>10630.4347826087</v>
      </c>
      <c r="R30" s="23" t="n">
        <f aca="false">R10*(R12*Assumptions!$B$23+(1-R12)*Assumptions!$B$22)+R8*Assumptions!$B$24</f>
        <v>14304.347826087</v>
      </c>
      <c r="S30" s="23" t="n">
        <f aca="false">S10*(S12*Assumptions!$B$23+(1-S12)*Assumptions!$B$22)+S8*Assumptions!$B$24</f>
        <v>14434.7826086957</v>
      </c>
      <c r="T30" s="23" t="n">
        <f aca="false">T10*(T12*Assumptions!$B$23+(1-T12)*Assumptions!$B$22)+T8*Assumptions!$B$24</f>
        <v>18206.5217391304</v>
      </c>
      <c r="U30" s="23" t="n">
        <f aca="false">U10*(U12*Assumptions!$B$23+(1-U12)*Assumptions!$B$22)+U8*Assumptions!$B$24</f>
        <v>18369.5652173913</v>
      </c>
      <c r="V30" s="23" t="n">
        <f aca="false">V10*(V12*Assumptions!$B$23+(1-V12)*Assumptions!$B$22)+V8*Assumptions!$B$24</f>
        <v>18532.6086956522</v>
      </c>
      <c r="W30" s="23" t="n">
        <f aca="false">W10*(W12*Assumptions!$B$23+(1-W12)*Assumptions!$B$22)+W8*Assumptions!$B$24</f>
        <v>18695.652173913</v>
      </c>
      <c r="X30" s="23" t="n">
        <f aca="false">X10*(X12*Assumptions!$B$23+(1-X12)*Assumptions!$B$22)+X8*Assumptions!$B$24</f>
        <v>22630.4347826087</v>
      </c>
      <c r="Y30" s="23" t="n">
        <f aca="false">Y10*(Y12*Assumptions!$B$23+(1-Y12)*Assumptions!$B$22)+Y8*Assumptions!$B$24</f>
        <v>22826.0869565217</v>
      </c>
      <c r="Z30" s="23" t="n">
        <f aca="false">Z10*(Z12*Assumptions!$B$23+(1-Z12)*Assumptions!$B$22)+Z8*Assumptions!$B$24</f>
        <v>23021.7391304348</v>
      </c>
      <c r="AA30" s="23" t="n">
        <f aca="false">AA10*(AA12*Assumptions!$B$23+(1-AA12)*Assumptions!$B$22)+AA8*Assumptions!$B$24</f>
        <v>23217.3913043478</v>
      </c>
      <c r="AB30" s="23" t="n">
        <f aca="false">AB10*(AB12*Assumptions!$B$23+(1-AB12)*Assumptions!$B$22)+AB8*Assumptions!$B$24</f>
        <v>23413.0434782609</v>
      </c>
      <c r="AC30" s="23" t="n">
        <f aca="false">AC10*(AC12*Assumptions!$B$23+(1-AC12)*Assumptions!$B$22)+AC8*Assumptions!$B$24</f>
        <v>27543.4782608696</v>
      </c>
      <c r="AD30" s="23" t="n">
        <f aca="false">AD10*(AD12*Assumptions!$B$23+(1-AD12)*Assumptions!$B$22)+AD8*Assumptions!$B$24</f>
        <v>27771.7391304348</v>
      </c>
      <c r="AE30" s="23" t="n">
        <f aca="false">AE10*(AE12*Assumptions!$B$23+(1-AE12)*Assumptions!$B$22)+AE8*Assumptions!$B$24</f>
        <v>28000</v>
      </c>
      <c r="AF30" s="23" t="n">
        <f aca="false">AF10*(AF12*Assumptions!$B$23+(1-AF12)*Assumptions!$B$22)+AF8*Assumptions!$B$24</f>
        <v>28000</v>
      </c>
      <c r="AG30" s="23" t="n">
        <f aca="false">AG10*(AG12*Assumptions!$B$23+(1-AG12)*Assumptions!$B$22)+AG8*Assumptions!$B$24</f>
        <v>28000</v>
      </c>
      <c r="AH30" s="23" t="n">
        <f aca="false">AH10*(AH12*Assumptions!$B$23+(1-AH12)*Assumptions!$B$22)+AH8*Assumptions!$B$24</f>
        <v>28000</v>
      </c>
      <c r="AI30" s="23" t="n">
        <f aca="false">AI10*(AI12*Assumptions!$B$23+(1-AI12)*Assumptions!$B$22)+AI8*Assumptions!$B$24</f>
        <v>28000</v>
      </c>
      <c r="AJ30" s="23" t="n">
        <f aca="false">AJ10*(AJ12*Assumptions!$B$23+(1-AJ12)*Assumptions!$B$22)+AJ8*Assumptions!$B$24</f>
        <v>28000</v>
      </c>
      <c r="AK30" s="23" t="n">
        <f aca="false">AK10*(AK12*Assumptions!$B$23+(1-AK12)*Assumptions!$B$22)+AK8*Assumptions!$B$24</f>
        <v>28000</v>
      </c>
      <c r="AL30" s="23" t="n">
        <f aca="false">AL10*(AL12*Assumptions!$B$23+(1-AL12)*Assumptions!$B$22)+AL8*Assumptions!$B$24</f>
        <v>28000</v>
      </c>
      <c r="AM30" s="23" t="n">
        <f aca="false">AM10*(AM12*Assumptions!$B$23+(1-AM12)*Assumptions!$B$22)+AM8*Assumptions!$B$24</f>
        <v>28000</v>
      </c>
      <c r="AN30" s="23" t="n">
        <f aca="false">AN10*(AN12*Assumptions!$B$23+(1-AN12)*Assumptions!$B$22)+AN8*Assumptions!$B$24</f>
        <v>28000</v>
      </c>
      <c r="AO30" s="23" t="n">
        <f aca="false">AO10*(AO12*Assumptions!$B$23+(1-AO12)*Assumptions!$B$22)+AO8*Assumptions!$B$24</f>
        <v>28000</v>
      </c>
      <c r="AP30" s="23" t="n">
        <f aca="false">AP10*(AP12*Assumptions!$B$23+(1-AP12)*Assumptions!$B$22)+AP8*Assumptions!$B$24</f>
        <v>28000</v>
      </c>
      <c r="AQ30" s="23" t="n">
        <f aca="false">AQ10*(AQ12*Assumptions!$B$23+(1-AQ12)*Assumptions!$B$22)+AQ8*Assumptions!$B$24</f>
        <v>28000</v>
      </c>
    </row>
    <row r="31" customFormat="false" ht="15" hidden="false" customHeight="false" outlineLevel="0" collapsed="false">
      <c r="A31" s="3" t="s">
        <v>106</v>
      </c>
      <c r="B31" s="30" t="n">
        <f aca="false">B27+B29+B30</f>
        <v>500</v>
      </c>
      <c r="C31" s="30" t="n">
        <f aca="false">C27+C29+C30</f>
        <v>1000</v>
      </c>
      <c r="D31" s="30" t="n">
        <f aca="false">D27+D29+D30</f>
        <v>1250</v>
      </c>
      <c r="E31" s="30" t="n">
        <f aca="false">E27+E29+E30</f>
        <v>1500</v>
      </c>
      <c r="F31" s="30" t="n">
        <f aca="false">F27+F29+F30</f>
        <v>2000</v>
      </c>
      <c r="G31" s="30" t="n">
        <f aca="false">G27+G29+G30</f>
        <v>2000</v>
      </c>
      <c r="H31" s="30" t="n">
        <f aca="false">H27+H29+H30</f>
        <v>14780</v>
      </c>
      <c r="I31" s="30" t="n">
        <f aca="false">I27+I29+I30</f>
        <v>9595.52717391304</v>
      </c>
      <c r="J31" s="30" t="n">
        <f aca="false">J27+J29+J30</f>
        <v>14551.3827581522</v>
      </c>
      <c r="K31" s="30" t="n">
        <f aca="false">K27+K29+K30</f>
        <v>16242.862236447</v>
      </c>
      <c r="L31" s="30" t="n">
        <f aca="false">L27+L29+L30</f>
        <v>17951.8099924704</v>
      </c>
      <c r="M31" s="30" t="n">
        <f aca="false">M27+M29+M30</f>
        <v>19677.4833372463</v>
      </c>
      <c r="N31" s="30" t="n">
        <f aca="false">N27+N29+N30</f>
        <v>25733.0737064382</v>
      </c>
      <c r="O31" s="30" t="n">
        <f aca="false">O27+O29+O30</f>
        <v>28399.3311313893</v>
      </c>
      <c r="P31" s="30" t="n">
        <f aca="false">P27+P29+P30</f>
        <v>31088.2426493785</v>
      </c>
      <c r="Q31" s="30" t="n">
        <f aca="false">Q27+Q29+Q30</f>
        <v>33798.7821262704</v>
      </c>
      <c r="R31" s="30" t="n">
        <f aca="false">R27+R29+R30</f>
        <v>41026.4747102911</v>
      </c>
      <c r="S31" s="30" t="n">
        <f aca="false">S27+S29+S30</f>
        <v>44737.5863040069</v>
      </c>
      <c r="T31" s="30" t="n">
        <f aca="false">T27+T29+T30</f>
        <v>53062.1325241912</v>
      </c>
      <c r="U31" s="30" t="n">
        <f aca="false">U27+U29+U30</f>
        <v>57808.987180521</v>
      </c>
      <c r="V31" s="30" t="n">
        <f aca="false">V27+V29+V30</f>
        <v>62585.2955224764</v>
      </c>
      <c r="W31" s="30" t="n">
        <f aca="false">W27+W29+W30</f>
        <v>67389.552691558</v>
      </c>
      <c r="X31" s="30" t="n">
        <f aca="false">X27+X29+X30</f>
        <v>76990.7329980734</v>
      </c>
      <c r="Y31" s="30" t="n">
        <f aca="false">Y27+Y29+Y30</f>
        <v>82883.3268343402</v>
      </c>
      <c r="Z31" s="30" t="n">
        <f aca="false">Z27+Z29+Z30</f>
        <v>88804.7801828994</v>
      </c>
      <c r="AA31" s="30" t="n">
        <f aca="false">AA27+AA29+AA30</f>
        <v>94753.4589568477</v>
      </c>
      <c r="AB31" s="30" t="n">
        <f aca="false">AB27+AB29+AB30</f>
        <v>100727.778145586</v>
      </c>
      <c r="AC31" s="30" t="n">
        <f aca="false">AC27+AC29+AC30</f>
        <v>111724.896208908</v>
      </c>
      <c r="AD31" s="30" t="n">
        <f aca="false">AD27+AD29+AD30</f>
        <v>118846.458414367</v>
      </c>
      <c r="AE31" s="30" t="n">
        <f aca="false">AE27+AE29+AE30</f>
        <v>125992.91709275</v>
      </c>
      <c r="AF31" s="30" t="n">
        <f aca="false">AF27+AF29+AF30</f>
        <v>132843.038213461</v>
      </c>
      <c r="AG31" s="30" t="n">
        <f aca="false">AG27+AG29+AG30</f>
        <v>139625.519587015</v>
      </c>
      <c r="AH31" s="30" t="n">
        <f aca="false">AH27+AH29+AH30</f>
        <v>146340.802007996</v>
      </c>
      <c r="AI31" s="30" t="n">
        <f aca="false">AI27+AI29+AI30</f>
        <v>152989.32986686</v>
      </c>
      <c r="AJ31" s="30" t="n">
        <f aca="false">AJ27+AJ29+AJ30</f>
        <v>159571.550900098</v>
      </c>
      <c r="AK31" s="30" t="n">
        <f aca="false">AK27+AK29+AK30</f>
        <v>166087.915948148</v>
      </c>
      <c r="AL31" s="30" t="n">
        <f aca="false">AL27+AL29+AL30</f>
        <v>172538.878720826</v>
      </c>
      <c r="AM31" s="30" t="n">
        <f aca="false">AM27+AM29+AM30</f>
        <v>178924.895570099</v>
      </c>
      <c r="AN31" s="30" t="n">
        <f aca="false">AN27+AN29+AN30</f>
        <v>185246.425270008</v>
      </c>
      <c r="AO31" s="30" t="n">
        <f aca="false">AO27+AO29+AO30</f>
        <v>191503.928803541</v>
      </c>
      <c r="AP31" s="30" t="n">
        <f aca="false">AP27+AP29+AP30</f>
        <v>197697.869156293</v>
      </c>
      <c r="AQ31" s="30" t="n">
        <f aca="false">AQ27+AQ29+AQ30</f>
        <v>203828.711116722</v>
      </c>
    </row>
    <row r="32" customFormat="false" ht="15" hidden="false" customHeight="false" outlineLevel="0" collapsed="false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</row>
    <row r="33" customFormat="false" ht="15" hidden="false" customHeight="false" outlineLevel="0" collapsed="false">
      <c r="A33" s="8" t="s">
        <v>107</v>
      </c>
    </row>
    <row r="34" customFormat="false" ht="15" hidden="false" customHeight="false" outlineLevel="0" collapsed="false">
      <c r="A34" s="5" t="s">
        <v>108</v>
      </c>
      <c r="B34" s="23" t="n">
        <f aca="false">SUMPRODUCT((Assumptions!$C$45:$C$52&lt;=EDATE(B$4,-Assumptions!$G$16))*Assumptions!$B$45:$B$52)*Assumptions!$B$27*(1+Assumptions!$B$28)^MAX(0,B$5-2026)</f>
        <v>6100</v>
      </c>
      <c r="C34" s="23" t="n">
        <f aca="false">SUMPRODUCT((Assumptions!$C$45:$C$52&lt;=EDATE(C$4,-Assumptions!$G$16))*Assumptions!$B$45:$B$52)*Assumptions!$B$27*(1+Assumptions!$B$28)^MAX(0,C$5-2026)</f>
        <v>6100</v>
      </c>
      <c r="D34" s="23" t="n">
        <f aca="false">SUMPRODUCT((Assumptions!$C$45:$C$52&lt;=EDATE(D$4,-Assumptions!$G$16))*Assumptions!$B$45:$B$52)*Assumptions!$B$27*(1+Assumptions!$B$28)^MAX(0,D$5-2026)</f>
        <v>6100</v>
      </c>
      <c r="E34" s="23" t="n">
        <f aca="false">SUMPRODUCT((Assumptions!$C$45:$C$52&lt;=EDATE(E$4,-Assumptions!$G$16))*Assumptions!$B$45:$B$52)*Assumptions!$B$27*(1+Assumptions!$B$28)^MAX(0,E$5-2026)</f>
        <v>6100</v>
      </c>
      <c r="F34" s="23" t="n">
        <f aca="false">SUMPRODUCT((Assumptions!$C$45:$C$52&lt;=EDATE(F$4,-Assumptions!$G$16))*Assumptions!$B$45:$B$52)*Assumptions!$B$27*(1+Assumptions!$B$28)^MAX(0,F$5-2026)</f>
        <v>13176</v>
      </c>
      <c r="G34" s="23" t="n">
        <f aca="false">SUMPRODUCT((Assumptions!$C$45:$C$52&lt;=EDATE(G$4,-Assumptions!$G$16))*Assumptions!$B$45:$B$52)*Assumptions!$B$27*(1+Assumptions!$B$28)^MAX(0,G$5-2026)</f>
        <v>13176</v>
      </c>
      <c r="H34" s="23" t="n">
        <f aca="false">SUMPRODUCT((Assumptions!$C$45:$C$52&lt;=EDATE(H$4,-Assumptions!$G$16))*Assumptions!$B$45:$B$52)*Assumptions!$B$27*(1+Assumptions!$B$28)^MAX(0,H$5-2026)</f>
        <v>13571.28</v>
      </c>
      <c r="I34" s="23" t="n">
        <f aca="false">SUMPRODUCT((Assumptions!$C$45:$C$52&lt;=EDATE(I$4,-Assumptions!$G$16))*Assumptions!$B$45:$B$52)*Assumptions!$B$27*(1+Assumptions!$B$28)^MAX(0,I$5-2026)</f>
        <v>19351.64</v>
      </c>
      <c r="J34" s="23" t="n">
        <f aca="false">SUMPRODUCT((Assumptions!$C$45:$C$52&lt;=EDATE(J$4,-Assumptions!$G$16))*Assumptions!$B$45:$B$52)*Assumptions!$B$27*(1+Assumptions!$B$28)^MAX(0,J$5-2026)</f>
        <v>19351.64</v>
      </c>
      <c r="K34" s="23" t="n">
        <f aca="false">SUMPRODUCT((Assumptions!$C$45:$C$52&lt;=EDATE(K$4,-Assumptions!$G$16))*Assumptions!$B$45:$B$52)*Assumptions!$B$27*(1+Assumptions!$B$28)^MAX(0,K$5-2026)</f>
        <v>19351.64</v>
      </c>
      <c r="L34" s="23" t="n">
        <f aca="false">SUMPRODUCT((Assumptions!$C$45:$C$52&lt;=EDATE(L$4,-Assumptions!$G$16))*Assumptions!$B$45:$B$52)*Assumptions!$B$27*(1+Assumptions!$B$28)^MAX(0,L$5-2026)</f>
        <v>19351.64</v>
      </c>
      <c r="M34" s="23" t="n">
        <f aca="false">SUMPRODUCT((Assumptions!$C$45:$C$52&lt;=EDATE(M$4,-Assumptions!$G$16))*Assumptions!$B$45:$B$52)*Assumptions!$B$27*(1+Assumptions!$B$28)^MAX(0,M$5-2026)</f>
        <v>19351.64</v>
      </c>
      <c r="N34" s="23" t="n">
        <f aca="false">SUMPRODUCT((Assumptions!$C$45:$C$52&lt;=EDATE(N$4,-Assumptions!$G$16))*Assumptions!$B$45:$B$52)*Assumptions!$B$27*(1+Assumptions!$B$28)^MAX(0,N$5-2026)</f>
        <v>28273.5</v>
      </c>
      <c r="O34" s="23" t="n">
        <f aca="false">SUMPRODUCT((Assumptions!$C$45:$C$52&lt;=EDATE(O$4,-Assumptions!$G$16))*Assumptions!$B$45:$B$52)*Assumptions!$B$27*(1+Assumptions!$B$28)^MAX(0,O$5-2026)</f>
        <v>28273.5</v>
      </c>
      <c r="P34" s="23" t="n">
        <f aca="false">SUMPRODUCT((Assumptions!$C$45:$C$52&lt;=EDATE(P$4,-Assumptions!$G$16))*Assumptions!$B$45:$B$52)*Assumptions!$B$27*(1+Assumptions!$B$28)^MAX(0,P$5-2026)</f>
        <v>28273.5</v>
      </c>
      <c r="Q34" s="23" t="n">
        <f aca="false">SUMPRODUCT((Assumptions!$C$45:$C$52&lt;=EDATE(Q$4,-Assumptions!$G$16))*Assumptions!$B$45:$B$52)*Assumptions!$B$27*(1+Assumptions!$B$28)^MAX(0,Q$5-2026)</f>
        <v>28273.5</v>
      </c>
      <c r="R34" s="23" t="n">
        <f aca="false">SUMPRODUCT((Assumptions!$C$45:$C$52&lt;=EDATE(R$4,-Assumptions!$G$16))*Assumptions!$B$45:$B$52)*Assumptions!$B$27*(1+Assumptions!$B$28)^MAX(0,R$5-2026)</f>
        <v>28273.5</v>
      </c>
      <c r="S34" s="23" t="n">
        <f aca="false">SUMPRODUCT((Assumptions!$C$45:$C$52&lt;=EDATE(S$4,-Assumptions!$G$16))*Assumptions!$B$45:$B$52)*Assumptions!$B$27*(1+Assumptions!$B$28)^MAX(0,S$5-2026)</f>
        <v>28273.5</v>
      </c>
      <c r="T34" s="23" t="n">
        <f aca="false">SUMPRODUCT((Assumptions!$C$45:$C$52&lt;=EDATE(T$4,-Assumptions!$G$16))*Assumptions!$B$45:$B$52)*Assumptions!$B$27*(1+Assumptions!$B$28)^MAX(0,T$5-2026)</f>
        <v>39864.3784</v>
      </c>
      <c r="U34" s="23" t="n">
        <f aca="false">SUMPRODUCT((Assumptions!$C$45:$C$52&lt;=EDATE(U$4,-Assumptions!$G$16))*Assumptions!$B$45:$B$52)*Assumptions!$B$27*(1+Assumptions!$B$28)^MAX(0,U$5-2026)</f>
        <v>39864.3784</v>
      </c>
      <c r="V34" s="23" t="n">
        <f aca="false">SUMPRODUCT((Assumptions!$C$45:$C$52&lt;=EDATE(V$4,-Assumptions!$G$16))*Assumptions!$B$45:$B$52)*Assumptions!$B$27*(1+Assumptions!$B$28)^MAX(0,V$5-2026)</f>
        <v>39864.3784</v>
      </c>
      <c r="W34" s="23" t="n">
        <f aca="false">SUMPRODUCT((Assumptions!$C$45:$C$52&lt;=EDATE(W$4,-Assumptions!$G$16))*Assumptions!$B$45:$B$52)*Assumptions!$B$27*(1+Assumptions!$B$28)^MAX(0,W$5-2026)</f>
        <v>39864.3784</v>
      </c>
      <c r="X34" s="23" t="n">
        <f aca="false">SUMPRODUCT((Assumptions!$C$45:$C$52&lt;=EDATE(X$4,-Assumptions!$G$16))*Assumptions!$B$45:$B$52)*Assumptions!$B$27*(1+Assumptions!$B$28)^MAX(0,X$5-2026)</f>
        <v>39864.3784</v>
      </c>
      <c r="Y34" s="23" t="n">
        <f aca="false">SUMPRODUCT((Assumptions!$C$45:$C$52&lt;=EDATE(Y$4,-Assumptions!$G$16))*Assumptions!$B$45:$B$52)*Assumptions!$B$27*(1+Assumptions!$B$28)^MAX(0,Y$5-2026)</f>
        <v>39864.3784</v>
      </c>
      <c r="Z34" s="23" t="n">
        <f aca="false">SUMPRODUCT((Assumptions!$C$45:$C$52&lt;=EDATE(Z$4,-Assumptions!$G$16))*Assumptions!$B$45:$B$52)*Assumptions!$B$27*(1+Assumptions!$B$28)^MAX(0,Z$5-2026)</f>
        <v>55007.665</v>
      </c>
      <c r="AA34" s="23" t="n">
        <f aca="false">SUMPRODUCT((Assumptions!$C$45:$C$52&lt;=EDATE(AA$4,-Assumptions!$G$16))*Assumptions!$B$45:$B$52)*Assumptions!$B$27*(1+Assumptions!$B$28)^MAX(0,AA$5-2026)</f>
        <v>55007.665</v>
      </c>
      <c r="AB34" s="23" t="n">
        <f aca="false">SUMPRODUCT((Assumptions!$C$45:$C$52&lt;=EDATE(AB$4,-Assumptions!$G$16))*Assumptions!$B$45:$B$52)*Assumptions!$B$27*(1+Assumptions!$B$28)^MAX(0,AB$5-2026)</f>
        <v>55007.665</v>
      </c>
      <c r="AC34" s="23" t="n">
        <f aca="false">SUMPRODUCT((Assumptions!$C$45:$C$52&lt;=EDATE(AC$4,-Assumptions!$G$16))*Assumptions!$B$45:$B$52)*Assumptions!$B$27*(1+Assumptions!$B$28)^MAX(0,AC$5-2026)</f>
        <v>55007.665</v>
      </c>
      <c r="AD34" s="23" t="n">
        <f aca="false">SUMPRODUCT((Assumptions!$C$45:$C$52&lt;=EDATE(AD$4,-Assumptions!$G$16))*Assumptions!$B$45:$B$52)*Assumptions!$B$27*(1+Assumptions!$B$28)^MAX(0,AD$5-2026)</f>
        <v>55007.665</v>
      </c>
      <c r="AE34" s="23" t="n">
        <f aca="false">SUMPRODUCT((Assumptions!$C$45:$C$52&lt;=EDATE(AE$4,-Assumptions!$G$16))*Assumptions!$B$45:$B$52)*Assumptions!$B$27*(1+Assumptions!$B$28)^MAX(0,AE$5-2026)</f>
        <v>55007.665</v>
      </c>
      <c r="AF34" s="23" t="n">
        <f aca="false">SUMPRODUCT((Assumptions!$C$45:$C$52&lt;=EDATE(AF$4,-Assumptions!$G$16))*Assumptions!$B$45:$B$52)*Assumptions!$B$27*(1+Assumptions!$B$28)^MAX(0,AF$5-2026)</f>
        <v>56657.89495</v>
      </c>
      <c r="AG34" s="23" t="n">
        <f aca="false">SUMPRODUCT((Assumptions!$C$45:$C$52&lt;=EDATE(AG$4,-Assumptions!$G$16))*Assumptions!$B$45:$B$52)*Assumptions!$B$27*(1+Assumptions!$B$28)^MAX(0,AG$5-2026)</f>
        <v>56657.89495</v>
      </c>
      <c r="AH34" s="23" t="n">
        <f aca="false">SUMPRODUCT((Assumptions!$C$45:$C$52&lt;=EDATE(AH$4,-Assumptions!$G$16))*Assumptions!$B$45:$B$52)*Assumptions!$B$27*(1+Assumptions!$B$28)^MAX(0,AH$5-2026)</f>
        <v>56657.89495</v>
      </c>
      <c r="AI34" s="23" t="n">
        <f aca="false">SUMPRODUCT((Assumptions!$C$45:$C$52&lt;=EDATE(AI$4,-Assumptions!$G$16))*Assumptions!$B$45:$B$52)*Assumptions!$B$27*(1+Assumptions!$B$28)^MAX(0,AI$5-2026)</f>
        <v>56657.89495</v>
      </c>
      <c r="AJ34" s="23" t="n">
        <f aca="false">SUMPRODUCT((Assumptions!$C$45:$C$52&lt;=EDATE(AJ$4,-Assumptions!$G$16))*Assumptions!$B$45:$B$52)*Assumptions!$B$27*(1+Assumptions!$B$28)^MAX(0,AJ$5-2026)</f>
        <v>56657.89495</v>
      </c>
      <c r="AK34" s="23" t="n">
        <f aca="false">SUMPRODUCT((Assumptions!$C$45:$C$52&lt;=EDATE(AK$4,-Assumptions!$G$16))*Assumptions!$B$45:$B$52)*Assumptions!$B$27*(1+Assumptions!$B$28)^MAX(0,AK$5-2026)</f>
        <v>56657.89495</v>
      </c>
      <c r="AL34" s="23" t="n">
        <f aca="false">SUMPRODUCT((Assumptions!$C$45:$C$52&lt;=EDATE(AL$4,-Assumptions!$G$16))*Assumptions!$B$45:$B$52)*Assumptions!$B$27*(1+Assumptions!$B$28)^MAX(0,AL$5-2026)</f>
        <v>56657.89495</v>
      </c>
      <c r="AM34" s="23" t="n">
        <f aca="false">SUMPRODUCT((Assumptions!$C$45:$C$52&lt;=EDATE(AM$4,-Assumptions!$G$16))*Assumptions!$B$45:$B$52)*Assumptions!$B$27*(1+Assumptions!$B$28)^MAX(0,AM$5-2026)</f>
        <v>56657.89495</v>
      </c>
      <c r="AN34" s="23" t="n">
        <f aca="false">SUMPRODUCT((Assumptions!$C$45:$C$52&lt;=EDATE(AN$4,-Assumptions!$G$16))*Assumptions!$B$45:$B$52)*Assumptions!$B$27*(1+Assumptions!$B$28)^MAX(0,AN$5-2026)</f>
        <v>56657.89495</v>
      </c>
      <c r="AO34" s="23" t="n">
        <f aca="false">SUMPRODUCT((Assumptions!$C$45:$C$52&lt;=EDATE(AO$4,-Assumptions!$G$16))*Assumptions!$B$45:$B$52)*Assumptions!$B$27*(1+Assumptions!$B$28)^MAX(0,AO$5-2026)</f>
        <v>56657.89495</v>
      </c>
      <c r="AP34" s="23" t="n">
        <f aca="false">SUMPRODUCT((Assumptions!$C$45:$C$52&lt;=EDATE(AP$4,-Assumptions!$G$16))*Assumptions!$B$45:$B$52)*Assumptions!$B$27*(1+Assumptions!$B$28)^MAX(0,AP$5-2026)</f>
        <v>56657.89495</v>
      </c>
      <c r="AQ34" s="23" t="n">
        <f aca="false">SUMPRODUCT((Assumptions!$C$45:$C$52&lt;=EDATE(AQ$4,-Assumptions!$G$16))*Assumptions!$B$45:$B$52)*Assumptions!$B$27*(1+Assumptions!$B$28)^MAX(0,AQ$5-2026)</f>
        <v>56657.89495</v>
      </c>
    </row>
    <row r="35" customFormat="false" ht="15" hidden="false" customHeight="false" outlineLevel="0" collapsed="false">
      <c r="A35" s="5" t="s">
        <v>109</v>
      </c>
      <c r="B35" s="23" t="n">
        <f aca="false">Assumptions!$B$35*12*(B13*Assumptions!$B$20+B14*Assumptions!$B$19)</f>
        <v>0</v>
      </c>
      <c r="C35" s="23" t="n">
        <f aca="false">Assumptions!$B$35*12*(C13*Assumptions!$B$20+C14*Assumptions!$B$19)</f>
        <v>0</v>
      </c>
      <c r="D35" s="23" t="n">
        <f aca="false">Assumptions!$B$35*12*(D13*Assumptions!$B$20+D14*Assumptions!$B$19)</f>
        <v>0</v>
      </c>
      <c r="E35" s="23" t="n">
        <f aca="false">Assumptions!$B$35*12*(E13*Assumptions!$B$20+E14*Assumptions!$B$19)</f>
        <v>0</v>
      </c>
      <c r="F35" s="23" t="n">
        <f aca="false">Assumptions!$B$35*12*(F13*Assumptions!$B$20+F14*Assumptions!$B$19)</f>
        <v>0</v>
      </c>
      <c r="G35" s="23" t="n">
        <f aca="false">Assumptions!$B$35*12*(G13*Assumptions!$B$20+G14*Assumptions!$B$19)</f>
        <v>0</v>
      </c>
      <c r="H35" s="23" t="n">
        <f aca="false">Assumptions!$B$35*12*(H13*Assumptions!$B$20+H14*Assumptions!$B$19)</f>
        <v>6636</v>
      </c>
      <c r="I35" s="23" t="n">
        <f aca="false">Assumptions!$B$35*12*(I13*Assumptions!$B$20+I14*Assumptions!$B$19)</f>
        <v>963.652173913044</v>
      </c>
      <c r="J35" s="23" t="n">
        <f aca="false">Assumptions!$B$35*12*(J13*Assumptions!$B$20+J14*Assumptions!$B$19)</f>
        <v>1958.60869565217</v>
      </c>
      <c r="K35" s="23" t="n">
        <f aca="false">Assumptions!$B$35*12*(K13*Assumptions!$B$20+K14*Assumptions!$B$19)</f>
        <v>1989.91304347826</v>
      </c>
      <c r="L35" s="23" t="n">
        <f aca="false">Assumptions!$B$35*12*(L13*Assumptions!$B$20+L14*Assumptions!$B$19)</f>
        <v>2021.21739130435</v>
      </c>
      <c r="M35" s="23" t="n">
        <f aca="false">Assumptions!$B$35*12*(M13*Assumptions!$B$20+M14*Assumptions!$B$19)</f>
        <v>2052.52173913044</v>
      </c>
      <c r="N35" s="23" t="n">
        <f aca="false">Assumptions!$B$35*12*(N13*Assumptions!$B$20+N14*Assumptions!$B$19)</f>
        <v>3125.73913043478</v>
      </c>
      <c r="O35" s="23" t="n">
        <f aca="false">Assumptions!$B$35*12*(O13*Assumptions!$B$20+O14*Assumptions!$B$19)</f>
        <v>3172.69565217391</v>
      </c>
      <c r="P35" s="23" t="n">
        <f aca="false">Assumptions!$B$35*12*(P13*Assumptions!$B$20+P14*Assumptions!$B$19)</f>
        <v>3219.65217391304</v>
      </c>
      <c r="Q35" s="23" t="n">
        <f aca="false">Assumptions!$B$35*12*(Q13*Assumptions!$B$20+Q14*Assumptions!$B$19)</f>
        <v>3266.60869565217</v>
      </c>
      <c r="R35" s="23" t="n">
        <f aca="false">Assumptions!$B$35*12*(R13*Assumptions!$B$20+R14*Assumptions!$B$19)</f>
        <v>4418.08695652174</v>
      </c>
      <c r="S35" s="23" t="n">
        <f aca="false">Assumptions!$B$35*12*(S13*Assumptions!$B$20+S14*Assumptions!$B$19)</f>
        <v>4480.69565217391</v>
      </c>
      <c r="T35" s="23" t="n">
        <f aca="false">Assumptions!$B$35*12*(T13*Assumptions!$B$20+T14*Assumptions!$B$19)</f>
        <v>5679.13043478261</v>
      </c>
      <c r="U35" s="23" t="n">
        <f aca="false">Assumptions!$B$35*12*(U13*Assumptions!$B$20+U14*Assumptions!$B$19)</f>
        <v>5757.39130434783</v>
      </c>
      <c r="V35" s="23" t="n">
        <f aca="false">Assumptions!$B$35*12*(V13*Assumptions!$B$20+V14*Assumptions!$B$19)</f>
        <v>5835.65217391305</v>
      </c>
      <c r="W35" s="23" t="n">
        <f aca="false">Assumptions!$B$35*12*(W13*Assumptions!$B$20+W14*Assumptions!$B$19)</f>
        <v>5913.91304347826</v>
      </c>
      <c r="X35" s="23" t="n">
        <f aca="false">Assumptions!$B$35*12*(X13*Assumptions!$B$20+X14*Assumptions!$B$19)</f>
        <v>7190.60869565218</v>
      </c>
      <c r="Y35" s="23" t="n">
        <f aca="false">Assumptions!$B$35*12*(Y13*Assumptions!$B$20+Y14*Assumptions!$B$19)</f>
        <v>7284.52173913044</v>
      </c>
      <c r="Z35" s="23" t="n">
        <f aca="false">Assumptions!$B$35*12*(Z13*Assumptions!$B$20+Z14*Assumptions!$B$19)</f>
        <v>7378.4347826087</v>
      </c>
      <c r="AA35" s="23" t="n">
        <f aca="false">Assumptions!$B$35*12*(AA13*Assumptions!$B$20+AA14*Assumptions!$B$19)</f>
        <v>7472.34782608696</v>
      </c>
      <c r="AB35" s="23" t="n">
        <f aca="false">Assumptions!$B$35*12*(AB13*Assumptions!$B$20+AB14*Assumptions!$B$19)</f>
        <v>7566.26086956522</v>
      </c>
      <c r="AC35" s="23" t="n">
        <f aca="false">Assumptions!$B$35*12*(AC13*Assumptions!$B$20+AC14*Assumptions!$B$19)</f>
        <v>8936.86956521739</v>
      </c>
      <c r="AD35" s="23" t="n">
        <f aca="false">Assumptions!$B$35*12*(AD13*Assumptions!$B$20+AD14*Assumptions!$B$19)</f>
        <v>9046.4347826087</v>
      </c>
      <c r="AE35" s="23" t="n">
        <f aca="false">Assumptions!$B$35*12*(AE13*Assumptions!$B$20+AE14*Assumptions!$B$19)</f>
        <v>9156</v>
      </c>
      <c r="AF35" s="23" t="n">
        <f aca="false">Assumptions!$B$35*12*(AF13*Assumptions!$B$20+AF14*Assumptions!$B$19)</f>
        <v>9156</v>
      </c>
      <c r="AG35" s="23" t="n">
        <f aca="false">Assumptions!$B$35*12*(AG13*Assumptions!$B$20+AG14*Assumptions!$B$19)</f>
        <v>9156</v>
      </c>
      <c r="AH35" s="23" t="n">
        <f aca="false">Assumptions!$B$35*12*(AH13*Assumptions!$B$20+AH14*Assumptions!$B$19)</f>
        <v>9156</v>
      </c>
      <c r="AI35" s="23" t="n">
        <f aca="false">Assumptions!$B$35*12*(AI13*Assumptions!$B$20+AI14*Assumptions!$B$19)</f>
        <v>9156</v>
      </c>
      <c r="AJ35" s="23" t="n">
        <f aca="false">Assumptions!$B$35*12*(AJ13*Assumptions!$B$20+AJ14*Assumptions!$B$19)</f>
        <v>9156</v>
      </c>
      <c r="AK35" s="23" t="n">
        <f aca="false">Assumptions!$B$35*12*(AK13*Assumptions!$B$20+AK14*Assumptions!$B$19)</f>
        <v>9156</v>
      </c>
      <c r="AL35" s="23" t="n">
        <f aca="false">Assumptions!$B$35*12*(AL13*Assumptions!$B$20+AL14*Assumptions!$B$19)</f>
        <v>9156</v>
      </c>
      <c r="AM35" s="23" t="n">
        <f aca="false">Assumptions!$B$35*12*(AM13*Assumptions!$B$20+AM14*Assumptions!$B$19)</f>
        <v>9156</v>
      </c>
      <c r="AN35" s="23" t="n">
        <f aca="false">Assumptions!$B$35*12*(AN13*Assumptions!$B$20+AN14*Assumptions!$B$19)</f>
        <v>9156</v>
      </c>
      <c r="AO35" s="23" t="n">
        <f aca="false">Assumptions!$B$35*12*(AO13*Assumptions!$B$20+AO14*Assumptions!$B$19)</f>
        <v>9156</v>
      </c>
      <c r="AP35" s="23" t="n">
        <f aca="false">Assumptions!$B$35*12*(AP13*Assumptions!$B$20+AP14*Assumptions!$B$19)</f>
        <v>9156</v>
      </c>
      <c r="AQ35" s="23" t="n">
        <f aca="false">Assumptions!$B$35*12*(AQ13*Assumptions!$B$20+AQ14*Assumptions!$B$19)</f>
        <v>9156</v>
      </c>
    </row>
    <row r="36" customFormat="false" ht="15" hidden="false" customHeight="false" outlineLevel="0" collapsed="false">
      <c r="A36" s="5" t="s">
        <v>110</v>
      </c>
      <c r="B36" s="23" t="n">
        <f aca="false">Assumptions!$B$29+B22*Assumptions!$B$30</f>
        <v>400</v>
      </c>
      <c r="C36" s="23" t="n">
        <f aca="false">Assumptions!$B$29+C22*Assumptions!$B$30</f>
        <v>400</v>
      </c>
      <c r="D36" s="23" t="n">
        <f aca="false">Assumptions!$B$29+D22*Assumptions!$B$30</f>
        <v>400</v>
      </c>
      <c r="E36" s="23" t="n">
        <f aca="false">Assumptions!$B$29+E22*Assumptions!$B$30</f>
        <v>400</v>
      </c>
      <c r="F36" s="23" t="n">
        <f aca="false">Assumptions!$B$29+F22*Assumptions!$B$30</f>
        <v>400</v>
      </c>
      <c r="G36" s="23" t="n">
        <f aca="false">Assumptions!$B$29+G22*Assumptions!$B$30</f>
        <v>400</v>
      </c>
      <c r="H36" s="23" t="n">
        <f aca="false">Assumptions!$B$29+H22*Assumptions!$B$30</f>
        <v>484</v>
      </c>
      <c r="I36" s="23" t="n">
        <f aca="false">Assumptions!$B$29+I22*Assumptions!$B$30</f>
        <v>494.95</v>
      </c>
      <c r="J36" s="23" t="n">
        <f aca="false">Assumptions!$B$29+J22*Assumptions!$B$30</f>
        <v>517.763125</v>
      </c>
      <c r="K36" s="23" t="n">
        <f aca="false">Assumptions!$B$29+K22*Assumptions!$B$30</f>
        <v>540.2910859375</v>
      </c>
      <c r="L36" s="23" t="n">
        <f aca="false">Assumptions!$B$29+L22*Assumptions!$B$30</f>
        <v>562.537447363281</v>
      </c>
      <c r="M36" s="23" t="n">
        <f aca="false">Assumptions!$B$29+M22*Assumptions!$B$30</f>
        <v>584.50572927124</v>
      </c>
      <c r="N36" s="23" t="n">
        <f aca="false">Assumptions!$B$29+N22*Assumptions!$B$30</f>
        <v>618.19940765535</v>
      </c>
      <c r="O36" s="23" t="n">
        <f aca="false">Assumptions!$B$29+O22*Assumptions!$B$30</f>
        <v>651.471915059658</v>
      </c>
      <c r="P36" s="23" t="n">
        <f aca="false">Assumptions!$B$29+P22*Assumptions!$B$30</f>
        <v>684.328516121412</v>
      </c>
      <c r="Q36" s="23" t="n">
        <f aca="false">Assumptions!$B$29+Q22*Assumptions!$B$30</f>
        <v>716.774409669895</v>
      </c>
      <c r="R36" s="23" t="n">
        <f aca="false">Assumptions!$B$29+R22*Assumptions!$B$30</f>
        <v>760.814729549021</v>
      </c>
      <c r="S36" s="23" t="n">
        <f aca="false">Assumptions!$B$29+S22*Assumptions!$B$30</f>
        <v>804.304545429658</v>
      </c>
      <c r="T36" s="23" t="n">
        <f aca="false">Assumptions!$B$29+T22*Assumptions!$B$30</f>
        <v>859.250738611787</v>
      </c>
      <c r="U36" s="23" t="n">
        <f aca="false">Assumptions!$B$29+U22*Assumptions!$B$30</f>
        <v>913.51010437914</v>
      </c>
      <c r="V36" s="23" t="n">
        <f aca="false">Assumptions!$B$29+V22*Assumptions!$B$30</f>
        <v>967.091228074401</v>
      </c>
      <c r="W36" s="23" t="n">
        <f aca="false">Assumptions!$B$29+W22*Assumptions!$B$30</f>
        <v>1020.00258772347</v>
      </c>
      <c r="X36" s="23" t="n">
        <f aca="false">Assumptions!$B$29+X22*Assumptions!$B$30</f>
        <v>1084.25255537693</v>
      </c>
      <c r="Y36" s="23" t="n">
        <f aca="false">Assumptions!$B$29+Y22*Assumptions!$B$30</f>
        <v>1147.69939843472</v>
      </c>
      <c r="Z36" s="23" t="n">
        <f aca="false">Assumptions!$B$29+Z22*Assumptions!$B$30</f>
        <v>1210.35315595428</v>
      </c>
      <c r="AA36" s="23" t="n">
        <f aca="false">Assumptions!$B$29+AA22*Assumptions!$B$30</f>
        <v>1272.22374150485</v>
      </c>
      <c r="AB36" s="23" t="n">
        <f aca="false">Assumptions!$B$29+AB22*Assumptions!$B$30</f>
        <v>1333.32094473604</v>
      </c>
      <c r="AC36" s="23" t="n">
        <f aca="false">Assumptions!$B$29+AC22*Assumptions!$B$30</f>
        <v>1405.65443292684</v>
      </c>
      <c r="AD36" s="23" t="n">
        <f aca="false">Assumptions!$B$29+AD22*Assumptions!$B$30</f>
        <v>1477.08375251526</v>
      </c>
      <c r="AE36" s="23" t="n">
        <f aca="false">Assumptions!$B$29+AE22*Assumptions!$B$30</f>
        <v>1547.62020560882</v>
      </c>
      <c r="AF36" s="23" t="n">
        <f aca="false">Assumptions!$B$29+AF22*Assumptions!$B$30</f>
        <v>1617.27495303871</v>
      </c>
      <c r="AG36" s="23" t="n">
        <f aca="false">Assumptions!$B$29+AG22*Assumptions!$B$30</f>
        <v>1686.05901612572</v>
      </c>
      <c r="AH36" s="23" t="n">
        <f aca="false">Assumptions!$B$29+AH22*Assumptions!$B$30</f>
        <v>1753.98327842415</v>
      </c>
      <c r="AI36" s="23" t="n">
        <f aca="false">Assumptions!$B$29+AI22*Assumptions!$B$30</f>
        <v>1821.05848744385</v>
      </c>
      <c r="AJ36" s="23" t="n">
        <f aca="false">Assumptions!$B$29+AJ22*Assumptions!$B$30</f>
        <v>1887.2952563508</v>
      </c>
      <c r="AK36" s="23" t="n">
        <f aca="false">Assumptions!$B$29+AK22*Assumptions!$B$30</f>
        <v>1952.70406564642</v>
      </c>
      <c r="AL36" s="23" t="n">
        <f aca="false">Assumptions!$B$29+AL22*Assumptions!$B$30</f>
        <v>2017.29526482584</v>
      </c>
      <c r="AM36" s="23" t="n">
        <f aca="false">Assumptions!$B$29+AM22*Assumptions!$B$30</f>
        <v>2081.07907401551</v>
      </c>
      <c r="AN36" s="23" t="n">
        <f aca="false">Assumptions!$B$29+AN22*Assumptions!$B$30</f>
        <v>2144.06558559032</v>
      </c>
      <c r="AO36" s="23" t="n">
        <f aca="false">Assumptions!$B$29+AO22*Assumptions!$B$30</f>
        <v>2206.26476577044</v>
      </c>
      <c r="AP36" s="23" t="n">
        <f aca="false">Assumptions!$B$29+AP22*Assumptions!$B$30</f>
        <v>2267.68645619831</v>
      </c>
      <c r="AQ36" s="23" t="n">
        <f aca="false">Assumptions!$B$29+AQ22*Assumptions!$B$30</f>
        <v>2328.34037549583</v>
      </c>
    </row>
    <row r="37" customFormat="false" ht="15" hidden="false" customHeight="false" outlineLevel="0" collapsed="false">
      <c r="A37" s="5" t="s">
        <v>111</v>
      </c>
      <c r="B37" s="23" t="n">
        <f aca="false">INDEX(Assumptions!$B$40:$E$40,MATCH(B$5,Assumptions!$B$39:$E$39,0))*Assumptions!$G$15</f>
        <v>2000</v>
      </c>
      <c r="C37" s="23" t="n">
        <f aca="false">INDEX(Assumptions!$B$40:$E$40,MATCH(C$5,Assumptions!$B$39:$E$39,0))*Assumptions!$G$15</f>
        <v>2000</v>
      </c>
      <c r="D37" s="23" t="n">
        <f aca="false">INDEX(Assumptions!$B$40:$E$40,MATCH(D$5,Assumptions!$B$39:$E$39,0))*Assumptions!$G$15</f>
        <v>2000</v>
      </c>
      <c r="E37" s="23" t="n">
        <f aca="false">INDEX(Assumptions!$B$40:$E$40,MATCH(E$5,Assumptions!$B$39:$E$39,0))*Assumptions!$G$15</f>
        <v>2000</v>
      </c>
      <c r="F37" s="23" t="n">
        <f aca="false">INDEX(Assumptions!$B$40:$E$40,MATCH(F$5,Assumptions!$B$39:$E$39,0))*Assumptions!$G$15</f>
        <v>2000</v>
      </c>
      <c r="G37" s="23" t="n">
        <f aca="false">INDEX(Assumptions!$B$40:$E$40,MATCH(G$5,Assumptions!$B$39:$E$39,0))*Assumptions!$G$15</f>
        <v>2000</v>
      </c>
      <c r="H37" s="23" t="n">
        <f aca="false">INDEX(Assumptions!$B$40:$E$40,MATCH(H$5,Assumptions!$B$39:$E$39,0))*Assumptions!$G$15</f>
        <v>6000</v>
      </c>
      <c r="I37" s="23" t="n">
        <f aca="false">INDEX(Assumptions!$B$40:$E$40,MATCH(I$5,Assumptions!$B$39:$E$39,0))*Assumptions!$G$15</f>
        <v>6000</v>
      </c>
      <c r="J37" s="23" t="n">
        <f aca="false">INDEX(Assumptions!$B$40:$E$40,MATCH(J$5,Assumptions!$B$39:$E$39,0))*Assumptions!$G$15</f>
        <v>6000</v>
      </c>
      <c r="K37" s="23" t="n">
        <f aca="false">INDEX(Assumptions!$B$40:$E$40,MATCH(K$5,Assumptions!$B$39:$E$39,0))*Assumptions!$G$15</f>
        <v>6000</v>
      </c>
      <c r="L37" s="23" t="n">
        <f aca="false">INDEX(Assumptions!$B$40:$E$40,MATCH(L$5,Assumptions!$B$39:$E$39,0))*Assumptions!$G$15</f>
        <v>6000</v>
      </c>
      <c r="M37" s="23" t="n">
        <f aca="false">INDEX(Assumptions!$B$40:$E$40,MATCH(M$5,Assumptions!$B$39:$E$39,0))*Assumptions!$G$15</f>
        <v>6000</v>
      </c>
      <c r="N37" s="23" t="n">
        <f aca="false">INDEX(Assumptions!$B$40:$E$40,MATCH(N$5,Assumptions!$B$39:$E$39,0))*Assumptions!$G$15</f>
        <v>6000</v>
      </c>
      <c r="O37" s="23" t="n">
        <f aca="false">INDEX(Assumptions!$B$40:$E$40,MATCH(O$5,Assumptions!$B$39:$E$39,0))*Assumptions!$G$15</f>
        <v>6000</v>
      </c>
      <c r="P37" s="23" t="n">
        <f aca="false">INDEX(Assumptions!$B$40:$E$40,MATCH(P$5,Assumptions!$B$39:$E$39,0))*Assumptions!$G$15</f>
        <v>6000</v>
      </c>
      <c r="Q37" s="23" t="n">
        <f aca="false">INDEX(Assumptions!$B$40:$E$40,MATCH(Q$5,Assumptions!$B$39:$E$39,0))*Assumptions!$G$15</f>
        <v>6000</v>
      </c>
      <c r="R37" s="23" t="n">
        <f aca="false">INDEX(Assumptions!$B$40:$E$40,MATCH(R$5,Assumptions!$B$39:$E$39,0))*Assumptions!$G$15</f>
        <v>6000</v>
      </c>
      <c r="S37" s="23" t="n">
        <f aca="false">INDEX(Assumptions!$B$40:$E$40,MATCH(S$5,Assumptions!$B$39:$E$39,0))*Assumptions!$G$15</f>
        <v>6000</v>
      </c>
      <c r="T37" s="23" t="n">
        <f aca="false">INDEX(Assumptions!$B$40:$E$40,MATCH(T$5,Assumptions!$B$39:$E$39,0))*Assumptions!$G$15</f>
        <v>9000</v>
      </c>
      <c r="U37" s="23" t="n">
        <f aca="false">INDEX(Assumptions!$B$40:$E$40,MATCH(U$5,Assumptions!$B$39:$E$39,0))*Assumptions!$G$15</f>
        <v>9000</v>
      </c>
      <c r="V37" s="23" t="n">
        <f aca="false">INDEX(Assumptions!$B$40:$E$40,MATCH(V$5,Assumptions!$B$39:$E$39,0))*Assumptions!$G$15</f>
        <v>9000</v>
      </c>
      <c r="W37" s="23" t="n">
        <f aca="false">INDEX(Assumptions!$B$40:$E$40,MATCH(W$5,Assumptions!$B$39:$E$39,0))*Assumptions!$G$15</f>
        <v>9000</v>
      </c>
      <c r="X37" s="23" t="n">
        <f aca="false">INDEX(Assumptions!$B$40:$E$40,MATCH(X$5,Assumptions!$B$39:$E$39,0))*Assumptions!$G$15</f>
        <v>9000</v>
      </c>
      <c r="Y37" s="23" t="n">
        <f aca="false">INDEX(Assumptions!$B$40:$E$40,MATCH(Y$5,Assumptions!$B$39:$E$39,0))*Assumptions!$G$15</f>
        <v>9000</v>
      </c>
      <c r="Z37" s="23" t="n">
        <f aca="false">INDEX(Assumptions!$B$40:$E$40,MATCH(Z$5,Assumptions!$B$39:$E$39,0))*Assumptions!$G$15</f>
        <v>9000</v>
      </c>
      <c r="AA37" s="23" t="n">
        <f aca="false">INDEX(Assumptions!$B$40:$E$40,MATCH(AA$5,Assumptions!$B$39:$E$39,0))*Assumptions!$G$15</f>
        <v>9000</v>
      </c>
      <c r="AB37" s="23" t="n">
        <f aca="false">INDEX(Assumptions!$B$40:$E$40,MATCH(AB$5,Assumptions!$B$39:$E$39,0))*Assumptions!$G$15</f>
        <v>9000</v>
      </c>
      <c r="AC37" s="23" t="n">
        <f aca="false">INDEX(Assumptions!$B$40:$E$40,MATCH(AC$5,Assumptions!$B$39:$E$39,0))*Assumptions!$G$15</f>
        <v>9000</v>
      </c>
      <c r="AD37" s="23" t="n">
        <f aca="false">INDEX(Assumptions!$B$40:$E$40,MATCH(AD$5,Assumptions!$B$39:$E$39,0))*Assumptions!$G$15</f>
        <v>9000</v>
      </c>
      <c r="AE37" s="23" t="n">
        <f aca="false">INDEX(Assumptions!$B$40:$E$40,MATCH(AE$5,Assumptions!$B$39:$E$39,0))*Assumptions!$G$15</f>
        <v>9000</v>
      </c>
      <c r="AF37" s="23" t="n">
        <f aca="false">INDEX(Assumptions!$B$40:$E$40,MATCH(AF$5,Assumptions!$B$39:$E$39,0))*Assumptions!$G$15</f>
        <v>12000</v>
      </c>
      <c r="AG37" s="23" t="n">
        <f aca="false">INDEX(Assumptions!$B$40:$E$40,MATCH(AG$5,Assumptions!$B$39:$E$39,0))*Assumptions!$G$15</f>
        <v>12000</v>
      </c>
      <c r="AH37" s="23" t="n">
        <f aca="false">INDEX(Assumptions!$B$40:$E$40,MATCH(AH$5,Assumptions!$B$39:$E$39,0))*Assumptions!$G$15</f>
        <v>12000</v>
      </c>
      <c r="AI37" s="23" t="n">
        <f aca="false">INDEX(Assumptions!$B$40:$E$40,MATCH(AI$5,Assumptions!$B$39:$E$39,0))*Assumptions!$G$15</f>
        <v>12000</v>
      </c>
      <c r="AJ37" s="23" t="n">
        <f aca="false">INDEX(Assumptions!$B$40:$E$40,MATCH(AJ$5,Assumptions!$B$39:$E$39,0))*Assumptions!$G$15</f>
        <v>12000</v>
      </c>
      <c r="AK37" s="23" t="n">
        <f aca="false">INDEX(Assumptions!$B$40:$E$40,MATCH(AK$5,Assumptions!$B$39:$E$39,0))*Assumptions!$G$15</f>
        <v>12000</v>
      </c>
      <c r="AL37" s="23" t="n">
        <f aca="false">INDEX(Assumptions!$B$40:$E$40,MATCH(AL$5,Assumptions!$B$39:$E$39,0))*Assumptions!$G$15</f>
        <v>12000</v>
      </c>
      <c r="AM37" s="23" t="n">
        <f aca="false">INDEX(Assumptions!$B$40:$E$40,MATCH(AM$5,Assumptions!$B$39:$E$39,0))*Assumptions!$G$15</f>
        <v>12000</v>
      </c>
      <c r="AN37" s="23" t="n">
        <f aca="false">INDEX(Assumptions!$B$40:$E$40,MATCH(AN$5,Assumptions!$B$39:$E$39,0))*Assumptions!$G$15</f>
        <v>12000</v>
      </c>
      <c r="AO37" s="23" t="n">
        <f aca="false">INDEX(Assumptions!$B$40:$E$40,MATCH(AO$5,Assumptions!$B$39:$E$39,0))*Assumptions!$G$15</f>
        <v>12000</v>
      </c>
      <c r="AP37" s="23" t="n">
        <f aca="false">INDEX(Assumptions!$B$40:$E$40,MATCH(AP$5,Assumptions!$B$39:$E$39,0))*Assumptions!$G$15</f>
        <v>12000</v>
      </c>
      <c r="AQ37" s="23" t="n">
        <f aca="false">INDEX(Assumptions!$B$40:$E$40,MATCH(AQ$5,Assumptions!$B$39:$E$39,0))*Assumptions!$G$15</f>
        <v>12000</v>
      </c>
    </row>
    <row r="38" customFormat="false" ht="15" hidden="false" customHeight="false" outlineLevel="0" collapsed="false">
      <c r="A38" s="5" t="s">
        <v>112</v>
      </c>
      <c r="B38" s="23" t="n">
        <f aca="false">Assumptions!$B$31+Assumptions!$B$32</f>
        <v>1800</v>
      </c>
      <c r="C38" s="23" t="n">
        <f aca="false">Assumptions!$B$31+Assumptions!$B$32</f>
        <v>1800</v>
      </c>
      <c r="D38" s="23" t="n">
        <f aca="false">Assumptions!$B$31+Assumptions!$B$32</f>
        <v>1800</v>
      </c>
      <c r="E38" s="23" t="n">
        <f aca="false">Assumptions!$B$31+Assumptions!$B$32</f>
        <v>1800</v>
      </c>
      <c r="F38" s="23" t="n">
        <f aca="false">Assumptions!$B$31+Assumptions!$B$32</f>
        <v>1800</v>
      </c>
      <c r="G38" s="23" t="n">
        <f aca="false">Assumptions!$B$31+Assumptions!$B$32</f>
        <v>1800</v>
      </c>
      <c r="H38" s="23" t="n">
        <f aca="false">Assumptions!$B$31+Assumptions!$B$32</f>
        <v>1800</v>
      </c>
      <c r="I38" s="23" t="n">
        <f aca="false">Assumptions!$B$31+Assumptions!$B$32</f>
        <v>1800</v>
      </c>
      <c r="J38" s="23" t="n">
        <f aca="false">Assumptions!$B$31+Assumptions!$B$32</f>
        <v>1800</v>
      </c>
      <c r="K38" s="23" t="n">
        <f aca="false">Assumptions!$B$31+Assumptions!$B$32</f>
        <v>1800</v>
      </c>
      <c r="L38" s="23" t="n">
        <f aca="false">Assumptions!$B$31+Assumptions!$B$32</f>
        <v>1800</v>
      </c>
      <c r="M38" s="23" t="n">
        <f aca="false">Assumptions!$B$31+Assumptions!$B$32</f>
        <v>1800</v>
      </c>
      <c r="N38" s="23" t="n">
        <f aca="false">Assumptions!$B$31+Assumptions!$B$32</f>
        <v>1800</v>
      </c>
      <c r="O38" s="23" t="n">
        <f aca="false">Assumptions!$B$31+Assumptions!$B$32</f>
        <v>1800</v>
      </c>
      <c r="P38" s="23" t="n">
        <f aca="false">Assumptions!$B$31+Assumptions!$B$32</f>
        <v>1800</v>
      </c>
      <c r="Q38" s="23" t="n">
        <f aca="false">Assumptions!$B$31+Assumptions!$B$32</f>
        <v>1800</v>
      </c>
      <c r="R38" s="23" t="n">
        <f aca="false">Assumptions!$B$31+Assumptions!$B$32</f>
        <v>1800</v>
      </c>
      <c r="S38" s="23" t="n">
        <f aca="false">Assumptions!$B$31+Assumptions!$B$32</f>
        <v>1800</v>
      </c>
      <c r="T38" s="23" t="n">
        <f aca="false">Assumptions!$B$31+Assumptions!$B$32</f>
        <v>1800</v>
      </c>
      <c r="U38" s="23" t="n">
        <f aca="false">Assumptions!$B$31+Assumptions!$B$32</f>
        <v>1800</v>
      </c>
      <c r="V38" s="23" t="n">
        <f aca="false">Assumptions!$B$31+Assumptions!$B$32</f>
        <v>1800</v>
      </c>
      <c r="W38" s="23" t="n">
        <f aca="false">Assumptions!$B$31+Assumptions!$B$32</f>
        <v>1800</v>
      </c>
      <c r="X38" s="23" t="n">
        <f aca="false">Assumptions!$B$31+Assumptions!$B$32</f>
        <v>1800</v>
      </c>
      <c r="Y38" s="23" t="n">
        <f aca="false">Assumptions!$B$31+Assumptions!$B$32</f>
        <v>1800</v>
      </c>
      <c r="Z38" s="23" t="n">
        <f aca="false">Assumptions!$B$31+Assumptions!$B$32</f>
        <v>1800</v>
      </c>
      <c r="AA38" s="23" t="n">
        <f aca="false">Assumptions!$B$31+Assumptions!$B$32</f>
        <v>1800</v>
      </c>
      <c r="AB38" s="23" t="n">
        <f aca="false">Assumptions!$B$31+Assumptions!$B$32</f>
        <v>1800</v>
      </c>
      <c r="AC38" s="23" t="n">
        <f aca="false">Assumptions!$B$31+Assumptions!$B$32</f>
        <v>1800</v>
      </c>
      <c r="AD38" s="23" t="n">
        <f aca="false">Assumptions!$B$31+Assumptions!$B$32</f>
        <v>1800</v>
      </c>
      <c r="AE38" s="23" t="n">
        <f aca="false">Assumptions!$B$31+Assumptions!$B$32</f>
        <v>1800</v>
      </c>
      <c r="AF38" s="23" t="n">
        <f aca="false">Assumptions!$B$31+Assumptions!$B$32</f>
        <v>1800</v>
      </c>
      <c r="AG38" s="23" t="n">
        <f aca="false">Assumptions!$B$31+Assumptions!$B$32</f>
        <v>1800</v>
      </c>
      <c r="AH38" s="23" t="n">
        <f aca="false">Assumptions!$B$31+Assumptions!$B$32</f>
        <v>1800</v>
      </c>
      <c r="AI38" s="23" t="n">
        <f aca="false">Assumptions!$B$31+Assumptions!$B$32</f>
        <v>1800</v>
      </c>
      <c r="AJ38" s="23" t="n">
        <f aca="false">Assumptions!$B$31+Assumptions!$B$32</f>
        <v>1800</v>
      </c>
      <c r="AK38" s="23" t="n">
        <f aca="false">Assumptions!$B$31+Assumptions!$B$32</f>
        <v>1800</v>
      </c>
      <c r="AL38" s="23" t="n">
        <f aca="false">Assumptions!$B$31+Assumptions!$B$32</f>
        <v>1800</v>
      </c>
      <c r="AM38" s="23" t="n">
        <f aca="false">Assumptions!$B$31+Assumptions!$B$32</f>
        <v>1800</v>
      </c>
      <c r="AN38" s="23" t="n">
        <f aca="false">Assumptions!$B$31+Assumptions!$B$32</f>
        <v>1800</v>
      </c>
      <c r="AO38" s="23" t="n">
        <f aca="false">Assumptions!$B$31+Assumptions!$B$32</f>
        <v>1800</v>
      </c>
      <c r="AP38" s="23" t="n">
        <f aca="false">Assumptions!$B$31+Assumptions!$B$32</f>
        <v>1800</v>
      </c>
      <c r="AQ38" s="23" t="n">
        <f aca="false">Assumptions!$B$31+Assumptions!$B$32</f>
        <v>1800</v>
      </c>
    </row>
    <row r="39" customFormat="false" ht="15" hidden="false" customHeight="false" outlineLevel="0" collapsed="false">
      <c r="A39" s="5" t="s">
        <v>113</v>
      </c>
      <c r="B39" s="23" t="n">
        <f aca="false">IF(B$4&gt;=DATE(2027,1,1),Assumptions!$B$33,0)</f>
        <v>0</v>
      </c>
      <c r="C39" s="23" t="n">
        <f aca="false">IF(C$4&gt;=DATE(2027,1,1),Assumptions!$B$33,0)</f>
        <v>0</v>
      </c>
      <c r="D39" s="23" t="n">
        <f aca="false">IF(D$4&gt;=DATE(2027,1,1),Assumptions!$B$33,0)</f>
        <v>0</v>
      </c>
      <c r="E39" s="23" t="n">
        <f aca="false">IF(E$4&gt;=DATE(2027,1,1),Assumptions!$B$33,0)</f>
        <v>0</v>
      </c>
      <c r="F39" s="23" t="n">
        <f aca="false">IF(F$4&gt;=DATE(2027,1,1),Assumptions!$B$33,0)</f>
        <v>0</v>
      </c>
      <c r="G39" s="23" t="n">
        <f aca="false">IF(G$4&gt;=DATE(2027,1,1),Assumptions!$B$33,0)</f>
        <v>0</v>
      </c>
      <c r="H39" s="23" t="n">
        <f aca="false">IF(H$4&gt;=DATE(2027,1,1),Assumptions!$B$33,0)</f>
        <v>800</v>
      </c>
      <c r="I39" s="23" t="n">
        <f aca="false">IF(I$4&gt;=DATE(2027,1,1),Assumptions!$B$33,0)</f>
        <v>800</v>
      </c>
      <c r="J39" s="23" t="n">
        <f aca="false">IF(J$4&gt;=DATE(2027,1,1),Assumptions!$B$33,0)</f>
        <v>800</v>
      </c>
      <c r="K39" s="23" t="n">
        <f aca="false">IF(K$4&gt;=DATE(2027,1,1),Assumptions!$B$33,0)</f>
        <v>800</v>
      </c>
      <c r="L39" s="23" t="n">
        <f aca="false">IF(L$4&gt;=DATE(2027,1,1),Assumptions!$B$33,0)</f>
        <v>800</v>
      </c>
      <c r="M39" s="23" t="n">
        <f aca="false">IF(M$4&gt;=DATE(2027,1,1),Assumptions!$B$33,0)</f>
        <v>800</v>
      </c>
      <c r="N39" s="23" t="n">
        <f aca="false">IF(N$4&gt;=DATE(2027,1,1),Assumptions!$B$33,0)</f>
        <v>800</v>
      </c>
      <c r="O39" s="23" t="n">
        <f aca="false">IF(O$4&gt;=DATE(2027,1,1),Assumptions!$B$33,0)</f>
        <v>800</v>
      </c>
      <c r="P39" s="23" t="n">
        <f aca="false">IF(P$4&gt;=DATE(2027,1,1),Assumptions!$B$33,0)</f>
        <v>800</v>
      </c>
      <c r="Q39" s="23" t="n">
        <f aca="false">IF(Q$4&gt;=DATE(2027,1,1),Assumptions!$B$33,0)</f>
        <v>800</v>
      </c>
      <c r="R39" s="23" t="n">
        <f aca="false">IF(R$4&gt;=DATE(2027,1,1),Assumptions!$B$33,0)</f>
        <v>800</v>
      </c>
      <c r="S39" s="23" t="n">
        <f aca="false">IF(S$4&gt;=DATE(2027,1,1),Assumptions!$B$33,0)</f>
        <v>800</v>
      </c>
      <c r="T39" s="23" t="n">
        <f aca="false">IF(T$4&gt;=DATE(2027,1,1),Assumptions!$B$33,0)</f>
        <v>800</v>
      </c>
      <c r="U39" s="23" t="n">
        <f aca="false">IF(U$4&gt;=DATE(2027,1,1),Assumptions!$B$33,0)</f>
        <v>800</v>
      </c>
      <c r="V39" s="23" t="n">
        <f aca="false">IF(V$4&gt;=DATE(2027,1,1),Assumptions!$B$33,0)</f>
        <v>800</v>
      </c>
      <c r="W39" s="23" t="n">
        <f aca="false">IF(W$4&gt;=DATE(2027,1,1),Assumptions!$B$33,0)</f>
        <v>800</v>
      </c>
      <c r="X39" s="23" t="n">
        <f aca="false">IF(X$4&gt;=DATE(2027,1,1),Assumptions!$B$33,0)</f>
        <v>800</v>
      </c>
      <c r="Y39" s="23" t="n">
        <f aca="false">IF(Y$4&gt;=DATE(2027,1,1),Assumptions!$B$33,0)</f>
        <v>800</v>
      </c>
      <c r="Z39" s="23" t="n">
        <f aca="false">IF(Z$4&gt;=DATE(2027,1,1),Assumptions!$B$33,0)</f>
        <v>800</v>
      </c>
      <c r="AA39" s="23" t="n">
        <f aca="false">IF(AA$4&gt;=DATE(2027,1,1),Assumptions!$B$33,0)</f>
        <v>800</v>
      </c>
      <c r="AB39" s="23" t="n">
        <f aca="false">IF(AB$4&gt;=DATE(2027,1,1),Assumptions!$B$33,0)</f>
        <v>800</v>
      </c>
      <c r="AC39" s="23" t="n">
        <f aca="false">IF(AC$4&gt;=DATE(2027,1,1),Assumptions!$B$33,0)</f>
        <v>800</v>
      </c>
      <c r="AD39" s="23" t="n">
        <f aca="false">IF(AD$4&gt;=DATE(2027,1,1),Assumptions!$B$33,0)</f>
        <v>800</v>
      </c>
      <c r="AE39" s="23" t="n">
        <f aca="false">IF(AE$4&gt;=DATE(2027,1,1),Assumptions!$B$33,0)</f>
        <v>800</v>
      </c>
      <c r="AF39" s="23" t="n">
        <f aca="false">IF(AF$4&gt;=DATE(2027,1,1),Assumptions!$B$33,0)</f>
        <v>800</v>
      </c>
      <c r="AG39" s="23" t="n">
        <f aca="false">IF(AG$4&gt;=DATE(2027,1,1),Assumptions!$B$33,0)</f>
        <v>800</v>
      </c>
      <c r="AH39" s="23" t="n">
        <f aca="false">IF(AH$4&gt;=DATE(2027,1,1),Assumptions!$B$33,0)</f>
        <v>800</v>
      </c>
      <c r="AI39" s="23" t="n">
        <f aca="false">IF(AI$4&gt;=DATE(2027,1,1),Assumptions!$B$33,0)</f>
        <v>800</v>
      </c>
      <c r="AJ39" s="23" t="n">
        <f aca="false">IF(AJ$4&gt;=DATE(2027,1,1),Assumptions!$B$33,0)</f>
        <v>800</v>
      </c>
      <c r="AK39" s="23" t="n">
        <f aca="false">IF(AK$4&gt;=DATE(2027,1,1),Assumptions!$B$33,0)</f>
        <v>800</v>
      </c>
      <c r="AL39" s="23" t="n">
        <f aca="false">IF(AL$4&gt;=DATE(2027,1,1),Assumptions!$B$33,0)</f>
        <v>800</v>
      </c>
      <c r="AM39" s="23" t="n">
        <f aca="false">IF(AM$4&gt;=DATE(2027,1,1),Assumptions!$B$33,0)</f>
        <v>800</v>
      </c>
      <c r="AN39" s="23" t="n">
        <f aca="false">IF(AN$4&gt;=DATE(2027,1,1),Assumptions!$B$33,0)</f>
        <v>800</v>
      </c>
      <c r="AO39" s="23" t="n">
        <f aca="false">IF(AO$4&gt;=DATE(2027,1,1),Assumptions!$B$33,0)</f>
        <v>800</v>
      </c>
      <c r="AP39" s="23" t="n">
        <f aca="false">IF(AP$4&gt;=DATE(2027,1,1),Assumptions!$B$33,0)</f>
        <v>800</v>
      </c>
      <c r="AQ39" s="23" t="n">
        <f aca="false">IF(AQ$4&gt;=DATE(2027,1,1),Assumptions!$B$33,0)</f>
        <v>800</v>
      </c>
    </row>
    <row r="40" customFormat="false" ht="15" hidden="false" customHeight="false" outlineLevel="0" collapsed="false">
      <c r="A40" s="5" t="s">
        <v>114</v>
      </c>
      <c r="B40" s="23" t="n">
        <f aca="false">B31*Assumptions!$B$34</f>
        <v>10</v>
      </c>
      <c r="C40" s="23" t="n">
        <f aca="false">C31*Assumptions!$B$34</f>
        <v>20</v>
      </c>
      <c r="D40" s="23" t="n">
        <f aca="false">D31*Assumptions!$B$34</f>
        <v>25</v>
      </c>
      <c r="E40" s="23" t="n">
        <f aca="false">E31*Assumptions!$B$34</f>
        <v>30</v>
      </c>
      <c r="F40" s="23" t="n">
        <f aca="false">F31*Assumptions!$B$34</f>
        <v>40</v>
      </c>
      <c r="G40" s="23" t="n">
        <f aca="false">G31*Assumptions!$B$34</f>
        <v>40</v>
      </c>
      <c r="H40" s="23" t="n">
        <f aca="false">H31*Assumptions!$B$34</f>
        <v>295.6</v>
      </c>
      <c r="I40" s="23" t="n">
        <f aca="false">I31*Assumptions!$B$34</f>
        <v>191.910543478261</v>
      </c>
      <c r="J40" s="23" t="n">
        <f aca="false">J31*Assumptions!$B$34</f>
        <v>291.027655163044</v>
      </c>
      <c r="K40" s="23" t="n">
        <f aca="false">K31*Assumptions!$B$34</f>
        <v>324.85724472894</v>
      </c>
      <c r="L40" s="23" t="n">
        <f aca="false">L31*Assumptions!$B$34</f>
        <v>359.036199849407</v>
      </c>
      <c r="M40" s="23" t="n">
        <f aca="false">M31*Assumptions!$B$34</f>
        <v>393.549666744926</v>
      </c>
      <c r="N40" s="23" t="n">
        <f aca="false">N31*Assumptions!$B$34</f>
        <v>514.661474128763</v>
      </c>
      <c r="O40" s="23" t="n">
        <f aca="false">O31*Assumptions!$B$34</f>
        <v>567.986622627785</v>
      </c>
      <c r="P40" s="23" t="n">
        <f aca="false">P31*Assumptions!$B$34</f>
        <v>621.764852987569</v>
      </c>
      <c r="Q40" s="23" t="n">
        <f aca="false">Q31*Assumptions!$B$34</f>
        <v>675.975642525407</v>
      </c>
      <c r="R40" s="23" t="n">
        <f aca="false">R31*Assumptions!$B$34</f>
        <v>820.529494205823</v>
      </c>
      <c r="S40" s="23" t="n">
        <f aca="false">S31*Assumptions!$B$34</f>
        <v>894.751726080138</v>
      </c>
      <c r="T40" s="23" t="n">
        <f aca="false">T31*Assumptions!$B$34</f>
        <v>1061.24265048382</v>
      </c>
      <c r="U40" s="23" t="n">
        <f aca="false">U31*Assumptions!$B$34</f>
        <v>1156.17974361042</v>
      </c>
      <c r="V40" s="23" t="n">
        <f aca="false">V31*Assumptions!$B$34</f>
        <v>1251.70591044953</v>
      </c>
      <c r="W40" s="23" t="n">
        <f aca="false">W31*Assumptions!$B$34</f>
        <v>1347.79105383116</v>
      </c>
      <c r="X40" s="23" t="n">
        <f aca="false">X31*Assumptions!$B$34</f>
        <v>1539.81465996147</v>
      </c>
      <c r="Y40" s="23" t="n">
        <f aca="false">Y31*Assumptions!$B$34</f>
        <v>1657.6665366868</v>
      </c>
      <c r="Z40" s="23" t="n">
        <f aca="false">Z31*Assumptions!$B$34</f>
        <v>1776.09560365799</v>
      </c>
      <c r="AA40" s="23" t="n">
        <f aca="false">AA31*Assumptions!$B$34</f>
        <v>1895.06917913695</v>
      </c>
      <c r="AB40" s="23" t="n">
        <f aca="false">AB31*Assumptions!$B$34</f>
        <v>2014.55556291171</v>
      </c>
      <c r="AC40" s="23" t="n">
        <f aca="false">AC31*Assumptions!$B$34</f>
        <v>2234.49792417816</v>
      </c>
      <c r="AD40" s="23" t="n">
        <f aca="false">AD31*Assumptions!$B$34</f>
        <v>2376.92916828734</v>
      </c>
      <c r="AE40" s="23" t="n">
        <f aca="false">AE31*Assumptions!$B$34</f>
        <v>2519.858341855</v>
      </c>
      <c r="AF40" s="23" t="n">
        <f aca="false">AF31*Assumptions!$B$34</f>
        <v>2656.86076426922</v>
      </c>
      <c r="AG40" s="23" t="n">
        <f aca="false">AG31*Assumptions!$B$34</f>
        <v>2792.51039174029</v>
      </c>
      <c r="AH40" s="23" t="n">
        <f aca="false">AH31*Assumptions!$B$34</f>
        <v>2926.81604015992</v>
      </c>
      <c r="AI40" s="23" t="n">
        <f aca="false">AI31*Assumptions!$B$34</f>
        <v>3059.78659733719</v>
      </c>
      <c r="AJ40" s="23" t="n">
        <f aca="false">AJ31*Assumptions!$B$34</f>
        <v>3191.43101800196</v>
      </c>
      <c r="AK40" s="23" t="n">
        <f aca="false">AK31*Assumptions!$B$34</f>
        <v>3321.75831896296</v>
      </c>
      <c r="AL40" s="23" t="n">
        <f aca="false">AL31*Assumptions!$B$34</f>
        <v>3450.77757441651</v>
      </c>
      <c r="AM40" s="23" t="n">
        <f aca="false">AM31*Assumptions!$B$34</f>
        <v>3578.49791140198</v>
      </c>
      <c r="AN40" s="23" t="n">
        <f aca="false">AN31*Assumptions!$B$34</f>
        <v>3704.92850540016</v>
      </c>
      <c r="AO40" s="23" t="n">
        <f aca="false">AO31*Assumptions!$B$34</f>
        <v>3830.07857607081</v>
      </c>
      <c r="AP40" s="23" t="n">
        <f aca="false">AP31*Assumptions!$B$34</f>
        <v>3953.95738312585</v>
      </c>
      <c r="AQ40" s="23" t="n">
        <f aca="false">AQ31*Assumptions!$B$34</f>
        <v>4076.57422233445</v>
      </c>
    </row>
    <row r="41" customFormat="false" ht="15" hidden="false" customHeight="false" outlineLevel="0" collapsed="false">
      <c r="A41" s="5" t="s">
        <v>115</v>
      </c>
      <c r="B41" s="23" t="n">
        <f aca="false">0.1*SUM(B34:B40)</f>
        <v>1031</v>
      </c>
      <c r="C41" s="23" t="n">
        <f aca="false">0.1*SUM(C34:C40)</f>
        <v>1032</v>
      </c>
      <c r="D41" s="23" t="n">
        <f aca="false">0.1*SUM(D34:D40)</f>
        <v>1032.5</v>
      </c>
      <c r="E41" s="23" t="n">
        <f aca="false">0.1*SUM(E34:E40)</f>
        <v>1033</v>
      </c>
      <c r="F41" s="23" t="n">
        <f aca="false">0.1*SUM(F34:F40)</f>
        <v>1741.6</v>
      </c>
      <c r="G41" s="23" t="n">
        <f aca="false">0.1*SUM(G34:G40)</f>
        <v>1741.6</v>
      </c>
      <c r="H41" s="23" t="n">
        <f aca="false">0.1*SUM(H34:H40)</f>
        <v>2958.688</v>
      </c>
      <c r="I41" s="23" t="n">
        <f aca="false">0.1*SUM(I34:I40)</f>
        <v>2960.21527173913</v>
      </c>
      <c r="J41" s="23" t="n">
        <f aca="false">0.1*SUM(J34:J40)</f>
        <v>3071.90394758152</v>
      </c>
      <c r="K41" s="23" t="n">
        <f aca="false">0.1*SUM(K34:K40)</f>
        <v>3080.67013741447</v>
      </c>
      <c r="L41" s="23" t="n">
        <f aca="false">0.1*SUM(L34:L40)</f>
        <v>3089.4431038517</v>
      </c>
      <c r="M41" s="23" t="n">
        <f aca="false">0.1*SUM(M34:M40)</f>
        <v>3098.22171351466</v>
      </c>
      <c r="N41" s="23" t="n">
        <f aca="false">0.1*SUM(N34:N40)</f>
        <v>4113.21000122189</v>
      </c>
      <c r="O41" s="23" t="n">
        <f aca="false">0.1*SUM(O34:O40)</f>
        <v>4126.56541898614</v>
      </c>
      <c r="P41" s="23" t="n">
        <f aca="false">0.1*SUM(P34:P40)</f>
        <v>4139.9245543022</v>
      </c>
      <c r="Q41" s="23" t="n">
        <f aca="false">0.1*SUM(Q34:Q40)</f>
        <v>4153.28587478475</v>
      </c>
      <c r="R41" s="23" t="n">
        <f aca="false">0.1*SUM(R34:R40)</f>
        <v>4287.29311802766</v>
      </c>
      <c r="S41" s="23" t="n">
        <f aca="false">0.1*SUM(S34:S40)</f>
        <v>4305.32519236837</v>
      </c>
      <c r="T41" s="23" t="n">
        <f aca="false">0.1*SUM(T34:T40)</f>
        <v>5906.40022238782</v>
      </c>
      <c r="U41" s="23" t="n">
        <f aca="false">0.1*SUM(U34:U40)</f>
        <v>5929.14595523374</v>
      </c>
      <c r="V41" s="23" t="n">
        <f aca="false">0.1*SUM(V34:V40)</f>
        <v>5951.8827712437</v>
      </c>
      <c r="W41" s="23" t="n">
        <f aca="false">0.1*SUM(W34:W40)</f>
        <v>5974.60850850329</v>
      </c>
      <c r="X41" s="23" t="n">
        <f aca="false">0.1*SUM(X34:X40)</f>
        <v>6127.90543109906</v>
      </c>
      <c r="Y41" s="23" t="n">
        <f aca="false">0.1*SUM(Y34:Y40)</f>
        <v>6155.4266074252</v>
      </c>
      <c r="Z41" s="23" t="n">
        <f aca="false">0.1*SUM(Z34:Z40)</f>
        <v>7697.2548542221</v>
      </c>
      <c r="AA41" s="23" t="n">
        <f aca="false">0.1*SUM(AA34:AA40)</f>
        <v>7724.73057467288</v>
      </c>
      <c r="AB41" s="23" t="n">
        <f aca="false">0.1*SUM(AB34:AB40)</f>
        <v>7752.1802377213</v>
      </c>
      <c r="AC41" s="23" t="n">
        <f aca="false">0.1*SUM(AC34:AC40)</f>
        <v>7918.46869223224</v>
      </c>
      <c r="AD41" s="23" t="n">
        <f aca="false">0.1*SUM(AD34:AD40)</f>
        <v>7950.81127034113</v>
      </c>
      <c r="AE41" s="23" t="n">
        <f aca="false">0.1*SUM(AE34:AE40)</f>
        <v>7983.11435474638</v>
      </c>
      <c r="AF41" s="23" t="n">
        <f aca="false">0.1*SUM(AF34:AF40)</f>
        <v>8468.80306673079</v>
      </c>
      <c r="AG41" s="23" t="n">
        <f aca="false">0.1*SUM(AG34:AG40)</f>
        <v>8489.2464357866</v>
      </c>
      <c r="AH41" s="23" t="n">
        <f aca="false">0.1*SUM(AH34:AH40)</f>
        <v>8509.46942685841</v>
      </c>
      <c r="AI41" s="23" t="n">
        <f aca="false">0.1*SUM(AI34:AI40)</f>
        <v>8529.4740034781</v>
      </c>
      <c r="AJ41" s="23" t="n">
        <f aca="false">0.1*SUM(AJ34:AJ40)</f>
        <v>8549.26212243528</v>
      </c>
      <c r="AK41" s="23" t="n">
        <f aca="false">0.1*SUM(AK34:AK40)</f>
        <v>8568.83573346094</v>
      </c>
      <c r="AL41" s="23" t="n">
        <f aca="false">0.1*SUM(AL34:AL40)</f>
        <v>8588.19677892424</v>
      </c>
      <c r="AM41" s="23" t="n">
        <f aca="false">0.1*SUM(AM34:AM40)</f>
        <v>8607.34719354175</v>
      </c>
      <c r="AN41" s="23" t="n">
        <f aca="false">0.1*SUM(AN34:AN40)</f>
        <v>8626.28890409905</v>
      </c>
      <c r="AO41" s="23" t="n">
        <f aca="false">0.1*SUM(AO34:AO40)</f>
        <v>8645.02382918413</v>
      </c>
      <c r="AP41" s="23" t="n">
        <f aca="false">0.1*SUM(AP34:AP40)</f>
        <v>8663.55387893242</v>
      </c>
      <c r="AQ41" s="23" t="n">
        <f aca="false">0.1*SUM(AQ34:AQ40)</f>
        <v>8681.88095478303</v>
      </c>
    </row>
    <row r="42" customFormat="false" ht="15" hidden="false" customHeight="false" outlineLevel="0" collapsed="false">
      <c r="A42" s="3" t="s">
        <v>116</v>
      </c>
      <c r="B42" s="30" t="n">
        <f aca="false">SUM(B34:B41)</f>
        <v>11341</v>
      </c>
      <c r="C42" s="30" t="n">
        <f aca="false">SUM(C34:C41)</f>
        <v>11352</v>
      </c>
      <c r="D42" s="30" t="n">
        <f aca="false">SUM(D34:D41)</f>
        <v>11357.5</v>
      </c>
      <c r="E42" s="30" t="n">
        <f aca="false">SUM(E34:E41)</f>
        <v>11363</v>
      </c>
      <c r="F42" s="30" t="n">
        <f aca="false">SUM(F34:F41)</f>
        <v>19157.6</v>
      </c>
      <c r="G42" s="30" t="n">
        <f aca="false">SUM(G34:G41)</f>
        <v>19157.6</v>
      </c>
      <c r="H42" s="30" t="n">
        <f aca="false">SUM(H34:H41)</f>
        <v>32545.568</v>
      </c>
      <c r="I42" s="30" t="n">
        <f aca="false">SUM(I34:I41)</f>
        <v>32562.3679891304</v>
      </c>
      <c r="J42" s="30" t="n">
        <f aca="false">SUM(J34:J41)</f>
        <v>33790.9434233967</v>
      </c>
      <c r="K42" s="30" t="n">
        <f aca="false">SUM(K34:K41)</f>
        <v>33887.3715115592</v>
      </c>
      <c r="L42" s="30" t="n">
        <f aca="false">SUM(L34:L41)</f>
        <v>33983.8741423687</v>
      </c>
      <c r="M42" s="30" t="n">
        <f aca="false">SUM(M34:M41)</f>
        <v>34080.4388486613</v>
      </c>
      <c r="N42" s="30" t="n">
        <f aca="false">SUM(N34:N41)</f>
        <v>45245.3100134408</v>
      </c>
      <c r="O42" s="30" t="n">
        <f aca="false">SUM(O34:O41)</f>
        <v>45392.2196088475</v>
      </c>
      <c r="P42" s="30" t="n">
        <f aca="false">SUM(P34:P41)</f>
        <v>45539.1700973242</v>
      </c>
      <c r="Q42" s="30" t="n">
        <f aca="false">SUM(Q34:Q41)</f>
        <v>45686.1446226322</v>
      </c>
      <c r="R42" s="30" t="n">
        <f aca="false">SUM(R34:R41)</f>
        <v>47160.2242983042</v>
      </c>
      <c r="S42" s="30" t="n">
        <f aca="false">SUM(S34:S41)</f>
        <v>47358.5771160521</v>
      </c>
      <c r="T42" s="30" t="n">
        <f aca="false">SUM(T34:T41)</f>
        <v>64970.402446266</v>
      </c>
      <c r="U42" s="30" t="n">
        <f aca="false">SUM(U34:U41)</f>
        <v>65220.6055075711</v>
      </c>
      <c r="V42" s="30" t="n">
        <f aca="false">SUM(V34:V41)</f>
        <v>65470.7104836807</v>
      </c>
      <c r="W42" s="30" t="n">
        <f aca="false">SUM(W34:W41)</f>
        <v>65720.6935935362</v>
      </c>
      <c r="X42" s="30" t="n">
        <f aca="false">SUM(X34:X41)</f>
        <v>67406.9597420896</v>
      </c>
      <c r="Y42" s="30" t="n">
        <f aca="false">SUM(Y34:Y41)</f>
        <v>67709.6926816772</v>
      </c>
      <c r="Z42" s="30" t="n">
        <f aca="false">SUM(Z34:Z41)</f>
        <v>84669.8033964431</v>
      </c>
      <c r="AA42" s="30" t="n">
        <f aca="false">SUM(AA34:AA41)</f>
        <v>84972.0363214016</v>
      </c>
      <c r="AB42" s="30" t="n">
        <f aca="false">SUM(AB34:AB41)</f>
        <v>85273.9826149343</v>
      </c>
      <c r="AC42" s="30" t="n">
        <f aca="false">SUM(AC34:AC41)</f>
        <v>87103.1556145546</v>
      </c>
      <c r="AD42" s="30" t="n">
        <f aca="false">SUM(AD34:AD41)</f>
        <v>87458.9239737524</v>
      </c>
      <c r="AE42" s="30" t="n">
        <f aca="false">SUM(AE34:AE41)</f>
        <v>87814.2579022102</v>
      </c>
      <c r="AF42" s="30" t="n">
        <f aca="false">SUM(AF34:AF41)</f>
        <v>93156.8337340387</v>
      </c>
      <c r="AG42" s="30" t="n">
        <f aca="false">SUM(AG34:AG41)</f>
        <v>93381.7107936526</v>
      </c>
      <c r="AH42" s="30" t="n">
        <f aca="false">SUM(AH34:AH41)</f>
        <v>93604.1636954425</v>
      </c>
      <c r="AI42" s="30" t="n">
        <f aca="false">SUM(AI34:AI41)</f>
        <v>93824.2140382592</v>
      </c>
      <c r="AJ42" s="30" t="n">
        <f aca="false">SUM(AJ34:AJ41)</f>
        <v>94041.8833467881</v>
      </c>
      <c r="AK42" s="30" t="n">
        <f aca="false">SUM(AK34:AK41)</f>
        <v>94257.1930680703</v>
      </c>
      <c r="AL42" s="30" t="n">
        <f aca="false">SUM(AL34:AL41)</f>
        <v>94470.1645681666</v>
      </c>
      <c r="AM42" s="30" t="n">
        <f aca="false">SUM(AM34:AM41)</f>
        <v>94680.8191289593</v>
      </c>
      <c r="AN42" s="30" t="n">
        <f aca="false">SUM(AN34:AN41)</f>
        <v>94889.1779450895</v>
      </c>
      <c r="AO42" s="30" t="n">
        <f aca="false">SUM(AO34:AO41)</f>
        <v>95095.2621210254</v>
      </c>
      <c r="AP42" s="30" t="n">
        <f aca="false">SUM(AP34:AP41)</f>
        <v>95299.0926682566</v>
      </c>
      <c r="AQ42" s="30" t="n">
        <f aca="false">SUM(AQ34:AQ41)</f>
        <v>95500.6905026133</v>
      </c>
    </row>
    <row r="43" customFormat="false" ht="15" hidden="false" customHeight="false" outlineLevel="0" collapsed="false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</row>
    <row r="44" customFormat="false" ht="15" hidden="false" customHeight="false" outlineLevel="0" collapsed="false">
      <c r="A44" s="3" t="s">
        <v>117</v>
      </c>
      <c r="B44" s="30" t="n">
        <f aca="false">B31-B42</f>
        <v>-10841</v>
      </c>
      <c r="C44" s="30" t="n">
        <f aca="false">C31-C42</f>
        <v>-10352</v>
      </c>
      <c r="D44" s="30" t="n">
        <f aca="false">D31-D42</f>
        <v>-10107.5</v>
      </c>
      <c r="E44" s="30" t="n">
        <f aca="false">E31-E42</f>
        <v>-9863</v>
      </c>
      <c r="F44" s="30" t="n">
        <f aca="false">F31-F42</f>
        <v>-17157.6</v>
      </c>
      <c r="G44" s="30" t="n">
        <f aca="false">G31-G42</f>
        <v>-17157.6</v>
      </c>
      <c r="H44" s="30" t="n">
        <f aca="false">H31-H42</f>
        <v>-17765.568</v>
      </c>
      <c r="I44" s="30" t="n">
        <f aca="false">I31-I42</f>
        <v>-22966.8408152174</v>
      </c>
      <c r="J44" s="30" t="n">
        <f aca="false">J31-J42</f>
        <v>-19239.5606652446</v>
      </c>
      <c r="K44" s="30" t="n">
        <f aca="false">K31-K42</f>
        <v>-17644.5092751122</v>
      </c>
      <c r="L44" s="30" t="n">
        <f aca="false">L31-L42</f>
        <v>-16032.0641498984</v>
      </c>
      <c r="M44" s="30" t="n">
        <f aca="false">M31-M42</f>
        <v>-14402.955511415</v>
      </c>
      <c r="N44" s="30" t="n">
        <f aca="false">N31-N42</f>
        <v>-19512.2363070026</v>
      </c>
      <c r="O44" s="30" t="n">
        <f aca="false">O31-O42</f>
        <v>-16992.8884774582</v>
      </c>
      <c r="P44" s="30" t="n">
        <f aca="false">P31-P42</f>
        <v>-14450.9274479458</v>
      </c>
      <c r="Q44" s="30" t="n">
        <f aca="false">Q31-Q42</f>
        <v>-11887.3624963619</v>
      </c>
      <c r="R44" s="30" t="n">
        <f aca="false">R31-R42</f>
        <v>-6133.7495880131</v>
      </c>
      <c r="S44" s="30" t="n">
        <f aca="false">S31-S42</f>
        <v>-2620.9908120452</v>
      </c>
      <c r="T44" s="30" t="n">
        <f aca="false">T31-T42</f>
        <v>-11908.2699220749</v>
      </c>
      <c r="U44" s="30" t="n">
        <f aca="false">U31-U42</f>
        <v>-7411.61832705014</v>
      </c>
      <c r="V44" s="30" t="n">
        <f aca="false">V31-V42</f>
        <v>-2885.41496120427</v>
      </c>
      <c r="W44" s="30" t="n">
        <f aca="false">W31-W42</f>
        <v>1668.85909802181</v>
      </c>
      <c r="X44" s="30" t="n">
        <f aca="false">X31-X42</f>
        <v>9583.77325598379</v>
      </c>
      <c r="Y44" s="30" t="n">
        <f aca="false">Y31-Y42</f>
        <v>15173.6341526631</v>
      </c>
      <c r="Z44" s="30" t="n">
        <f aca="false">Z31-Z42</f>
        <v>4134.97678645632</v>
      </c>
      <c r="AA44" s="30" t="n">
        <f aca="false">AA31-AA42</f>
        <v>9781.42263544601</v>
      </c>
      <c r="AB44" s="30" t="n">
        <f aca="false">AB31-AB42</f>
        <v>15453.7955306514</v>
      </c>
      <c r="AC44" s="30" t="n">
        <f aca="false">AC31-AC42</f>
        <v>24621.7405943533</v>
      </c>
      <c r="AD44" s="30" t="n">
        <f aca="false">AD31-AD42</f>
        <v>31387.5344406146</v>
      </c>
      <c r="AE44" s="30" t="n">
        <f aca="false">AE31-AE42</f>
        <v>38178.65919054</v>
      </c>
      <c r="AF44" s="30" t="n">
        <f aca="false">AF31-AF42</f>
        <v>39686.2044794223</v>
      </c>
      <c r="AG44" s="30" t="n">
        <f aca="false">AG31-AG42</f>
        <v>46243.8087933619</v>
      </c>
      <c r="AH44" s="30" t="n">
        <f aca="false">AH31-AH42</f>
        <v>52736.6383125536</v>
      </c>
      <c r="AI44" s="30" t="n">
        <f aca="false">AI31-AI42</f>
        <v>59165.1158286004</v>
      </c>
      <c r="AJ44" s="30" t="n">
        <f aca="false">AJ31-AJ42</f>
        <v>65529.6675533099</v>
      </c>
      <c r="AK44" s="30" t="n">
        <f aca="false">AK31-AK42</f>
        <v>71830.7228800777</v>
      </c>
      <c r="AL44" s="30" t="n">
        <f aca="false">AL31-AL42</f>
        <v>78068.7141526591</v>
      </c>
      <c r="AM44" s="30" t="n">
        <f aca="false">AM31-AM42</f>
        <v>84244.0764411399</v>
      </c>
      <c r="AN44" s="30" t="n">
        <f aca="false">AN31-AN42</f>
        <v>90357.2473249183</v>
      </c>
      <c r="AO44" s="30" t="n">
        <f aca="false">AO31-AO42</f>
        <v>96408.6666825153</v>
      </c>
      <c r="AP44" s="30" t="n">
        <f aca="false">AP31-AP42</f>
        <v>102398.776488036</v>
      </c>
      <c r="AQ44" s="30" t="n">
        <f aca="false">AQ31-AQ42</f>
        <v>108328.020614109</v>
      </c>
    </row>
    <row r="45" customFormat="false" ht="15" hidden="false" customHeight="false" outlineLevel="0" collapsed="false">
      <c r="A45" s="5" t="s">
        <v>118</v>
      </c>
      <c r="B45" s="23" t="n">
        <f aca="false">B44</f>
        <v>-10841</v>
      </c>
      <c r="C45" s="23" t="n">
        <f aca="false">B45+C44</f>
        <v>-21193</v>
      </c>
      <c r="D45" s="23" t="n">
        <f aca="false">C45+D44</f>
        <v>-31300.5</v>
      </c>
      <c r="E45" s="23" t="n">
        <f aca="false">D45+E44</f>
        <v>-41163.5</v>
      </c>
      <c r="F45" s="23" t="n">
        <f aca="false">E45+F44</f>
        <v>-58321.1</v>
      </c>
      <c r="G45" s="23" t="n">
        <f aca="false">F45+G44</f>
        <v>-75478.7</v>
      </c>
      <c r="H45" s="23" t="n">
        <f aca="false">G45+H44</f>
        <v>-93244.268</v>
      </c>
      <c r="I45" s="23" t="n">
        <f aca="false">H45+I44</f>
        <v>-116211.108815217</v>
      </c>
      <c r="J45" s="23" t="n">
        <f aca="false">I45+J44</f>
        <v>-135450.669480462</v>
      </c>
      <c r="K45" s="23" t="n">
        <f aca="false">J45+K44</f>
        <v>-153095.178755574</v>
      </c>
      <c r="L45" s="23" t="n">
        <f aca="false">K45+L44</f>
        <v>-169127.242905472</v>
      </c>
      <c r="M45" s="23" t="n">
        <f aca="false">L45+M44</f>
        <v>-183530.198416887</v>
      </c>
      <c r="N45" s="23" t="n">
        <f aca="false">M45+N44</f>
        <v>-203042.43472389</v>
      </c>
      <c r="O45" s="23" t="n">
        <f aca="false">N45+O44</f>
        <v>-220035.323201348</v>
      </c>
      <c r="P45" s="23" t="n">
        <f aca="false">O45+P44</f>
        <v>-234486.250649294</v>
      </c>
      <c r="Q45" s="23" t="n">
        <f aca="false">P45+Q44</f>
        <v>-246373.613145656</v>
      </c>
      <c r="R45" s="23" t="n">
        <f aca="false">Q45+R44</f>
        <v>-252507.362733669</v>
      </c>
      <c r="S45" s="23" t="n">
        <f aca="false">R45+S44</f>
        <v>-255128.353545714</v>
      </c>
      <c r="T45" s="23" t="n">
        <f aca="false">S45+T44</f>
        <v>-267036.623467789</v>
      </c>
      <c r="U45" s="23" t="n">
        <f aca="false">T45+U44</f>
        <v>-274448.241794839</v>
      </c>
      <c r="V45" s="23" t="n">
        <f aca="false">U45+V44</f>
        <v>-277333.656756044</v>
      </c>
      <c r="W45" s="23" t="n">
        <f aca="false">V45+W44</f>
        <v>-275664.797658022</v>
      </c>
      <c r="X45" s="23" t="n">
        <f aca="false">W45+X44</f>
        <v>-266081.024402038</v>
      </c>
      <c r="Y45" s="23" t="n">
        <f aca="false">X45+Y44</f>
        <v>-250907.390249375</v>
      </c>
      <c r="Z45" s="23" t="n">
        <f aca="false">Y45+Z44</f>
        <v>-246772.413462919</v>
      </c>
      <c r="AA45" s="23" t="n">
        <f aca="false">Z45+AA44</f>
        <v>-236990.990827473</v>
      </c>
      <c r="AB45" s="23" t="n">
        <f aca="false">AA45+AB44</f>
        <v>-221537.195296821</v>
      </c>
      <c r="AC45" s="23" t="n">
        <f aca="false">AB45+AC44</f>
        <v>-196915.454702468</v>
      </c>
      <c r="AD45" s="23" t="n">
        <f aca="false">AC45+AD44</f>
        <v>-165527.920261853</v>
      </c>
      <c r="AE45" s="23" t="n">
        <f aca="false">AD45+AE44</f>
        <v>-127349.261071313</v>
      </c>
      <c r="AF45" s="23" t="n">
        <f aca="false">AE45+AF44</f>
        <v>-87663.056591891</v>
      </c>
      <c r="AG45" s="23" t="n">
        <f aca="false">AF45+AG44</f>
        <v>-41419.2477985291</v>
      </c>
      <c r="AH45" s="23" t="n">
        <f aca="false">AG45+AH44</f>
        <v>11317.3905140246</v>
      </c>
      <c r="AI45" s="23" t="n">
        <f aca="false">AH45+AI44</f>
        <v>70482.506342625</v>
      </c>
      <c r="AJ45" s="23" t="n">
        <f aca="false">AI45+AJ44</f>
        <v>136012.173895935</v>
      </c>
      <c r="AK45" s="23" t="n">
        <f aca="false">AJ45+AK44</f>
        <v>207842.896776013</v>
      </c>
      <c r="AL45" s="23" t="n">
        <f aca="false">AK45+AL44</f>
        <v>285911.610928672</v>
      </c>
      <c r="AM45" s="23" t="n">
        <f aca="false">AL45+AM44</f>
        <v>370155.687369812</v>
      </c>
      <c r="AN45" s="23" t="n">
        <f aca="false">AM45+AN44</f>
        <v>460512.93469473</v>
      </c>
      <c r="AO45" s="23" t="n">
        <f aca="false">AN45+AO44</f>
        <v>556921.601377245</v>
      </c>
      <c r="AP45" s="23" t="n">
        <f aca="false">AO45+AP44</f>
        <v>659320.377865281</v>
      </c>
      <c r="AQ45" s="23" t="n">
        <f aca="false">AP45+AQ44</f>
        <v>767648.39847939</v>
      </c>
    </row>
    <row r="46" customFormat="false" ht="15" hidden="false" customHeight="false" outlineLevel="0" collapsed="false">
      <c r="A46" s="5" t="s">
        <v>119</v>
      </c>
      <c r="B46" s="23" t="n">
        <f aca="false">MAX(0,B45)*Assumptions!$B$37</f>
        <v>0</v>
      </c>
      <c r="C46" s="23" t="n">
        <f aca="false">(MAX(0,C45)-MAX(0,B45))*Assumptions!$B$37</f>
        <v>0</v>
      </c>
      <c r="D46" s="23" t="n">
        <f aca="false">(MAX(0,D45)-MAX(0,C45))*Assumptions!$B$37</f>
        <v>0</v>
      </c>
      <c r="E46" s="23" t="n">
        <f aca="false">(MAX(0,E45)-MAX(0,D45))*Assumptions!$B$37</f>
        <v>0</v>
      </c>
      <c r="F46" s="23" t="n">
        <f aca="false">(MAX(0,F45)-MAX(0,E45))*Assumptions!$B$37</f>
        <v>0</v>
      </c>
      <c r="G46" s="23" t="n">
        <f aca="false">(MAX(0,G45)-MAX(0,F45))*Assumptions!$B$37</f>
        <v>0</v>
      </c>
      <c r="H46" s="23" t="n">
        <f aca="false">(MAX(0,H45)-MAX(0,G45))*Assumptions!$B$37</f>
        <v>0</v>
      </c>
      <c r="I46" s="23" t="n">
        <f aca="false">(MAX(0,I45)-MAX(0,H45))*Assumptions!$B$37</f>
        <v>0</v>
      </c>
      <c r="J46" s="23" t="n">
        <f aca="false">(MAX(0,J45)-MAX(0,I45))*Assumptions!$B$37</f>
        <v>0</v>
      </c>
      <c r="K46" s="23" t="n">
        <f aca="false">(MAX(0,K45)-MAX(0,J45))*Assumptions!$B$37</f>
        <v>0</v>
      </c>
      <c r="L46" s="23" t="n">
        <f aca="false">(MAX(0,L45)-MAX(0,K45))*Assumptions!$B$37</f>
        <v>0</v>
      </c>
      <c r="M46" s="23" t="n">
        <f aca="false">(MAX(0,M45)-MAX(0,L45))*Assumptions!$B$37</f>
        <v>0</v>
      </c>
      <c r="N46" s="23" t="n">
        <f aca="false">(MAX(0,N45)-MAX(0,M45))*Assumptions!$B$37</f>
        <v>0</v>
      </c>
      <c r="O46" s="23" t="n">
        <f aca="false">(MAX(0,O45)-MAX(0,N45))*Assumptions!$B$37</f>
        <v>0</v>
      </c>
      <c r="P46" s="23" t="n">
        <f aca="false">(MAX(0,P45)-MAX(0,O45))*Assumptions!$B$37</f>
        <v>0</v>
      </c>
      <c r="Q46" s="23" t="n">
        <f aca="false">(MAX(0,Q45)-MAX(0,P45))*Assumptions!$B$37</f>
        <v>0</v>
      </c>
      <c r="R46" s="23" t="n">
        <f aca="false">(MAX(0,R45)-MAX(0,Q45))*Assumptions!$B$37</f>
        <v>0</v>
      </c>
      <c r="S46" s="23" t="n">
        <f aca="false">(MAX(0,S45)-MAX(0,R45))*Assumptions!$B$37</f>
        <v>0</v>
      </c>
      <c r="T46" s="23" t="n">
        <f aca="false">(MAX(0,T45)-MAX(0,S45))*Assumptions!$B$37</f>
        <v>0</v>
      </c>
      <c r="U46" s="23" t="n">
        <f aca="false">(MAX(0,U45)-MAX(0,T45))*Assumptions!$B$37</f>
        <v>0</v>
      </c>
      <c r="V46" s="23" t="n">
        <f aca="false">(MAX(0,V45)-MAX(0,U45))*Assumptions!$B$37</f>
        <v>0</v>
      </c>
      <c r="W46" s="23" t="n">
        <f aca="false">(MAX(0,W45)-MAX(0,V45))*Assumptions!$B$37</f>
        <v>0</v>
      </c>
      <c r="X46" s="23" t="n">
        <f aca="false">(MAX(0,X45)-MAX(0,W45))*Assumptions!$B$37</f>
        <v>0</v>
      </c>
      <c r="Y46" s="23" t="n">
        <f aca="false">(MAX(0,Y45)-MAX(0,X45))*Assumptions!$B$37</f>
        <v>0</v>
      </c>
      <c r="Z46" s="23" t="n">
        <f aca="false">(MAX(0,Z45)-MAX(0,Y45))*Assumptions!$B$37</f>
        <v>0</v>
      </c>
      <c r="AA46" s="23" t="n">
        <f aca="false">(MAX(0,AA45)-MAX(0,Z45))*Assumptions!$B$37</f>
        <v>0</v>
      </c>
      <c r="AB46" s="23" t="n">
        <f aca="false">(MAX(0,AB45)-MAX(0,AA45))*Assumptions!$B$37</f>
        <v>0</v>
      </c>
      <c r="AC46" s="23" t="n">
        <f aca="false">(MAX(0,AC45)-MAX(0,AB45))*Assumptions!$B$37</f>
        <v>0</v>
      </c>
      <c r="AD46" s="23" t="n">
        <f aca="false">(MAX(0,AD45)-MAX(0,AC45))*Assumptions!$B$37</f>
        <v>0</v>
      </c>
      <c r="AE46" s="23" t="n">
        <f aca="false">(MAX(0,AE45)-MAX(0,AD45))*Assumptions!$B$37</f>
        <v>0</v>
      </c>
      <c r="AF46" s="23" t="n">
        <f aca="false">(MAX(0,AF45)-MAX(0,AE45))*Assumptions!$B$37</f>
        <v>0</v>
      </c>
      <c r="AG46" s="23" t="n">
        <f aca="false">(MAX(0,AG45)-MAX(0,AF45))*Assumptions!$B$37</f>
        <v>0</v>
      </c>
      <c r="AH46" s="23" t="n">
        <f aca="false">(MAX(0,AH45)-MAX(0,AG45))*Assumptions!$B$37</f>
        <v>3395.21715420737</v>
      </c>
      <c r="AI46" s="23" t="n">
        <f aca="false">(MAX(0,AI45)-MAX(0,AH45))*Assumptions!$B$37</f>
        <v>17749.5347485801</v>
      </c>
      <c r="AJ46" s="23" t="n">
        <f aca="false">(MAX(0,AJ45)-MAX(0,AI45))*Assumptions!$B$37</f>
        <v>19658.900265993</v>
      </c>
      <c r="AK46" s="23" t="n">
        <f aca="false">(MAX(0,AK45)-MAX(0,AJ45))*Assumptions!$B$37</f>
        <v>21549.2168640233</v>
      </c>
      <c r="AL46" s="23" t="n">
        <f aca="false">(MAX(0,AL45)-MAX(0,AK45))*Assumptions!$B$37</f>
        <v>23420.6142457977</v>
      </c>
      <c r="AM46" s="23" t="n">
        <f aca="false">(MAX(0,AM45)-MAX(0,AL45))*Assumptions!$B$37</f>
        <v>25273.222932342</v>
      </c>
      <c r="AN46" s="23" t="n">
        <f aca="false">(MAX(0,AN45)-MAX(0,AM45))*Assumptions!$B$37</f>
        <v>27107.1741974755</v>
      </c>
      <c r="AO46" s="23" t="n">
        <f aca="false">(MAX(0,AO45)-MAX(0,AN45))*Assumptions!$B$37</f>
        <v>28922.6000047546</v>
      </c>
      <c r="AP46" s="23" t="n">
        <f aca="false">(MAX(0,AP45)-MAX(0,AO45))*Assumptions!$B$37</f>
        <v>30719.6329464108</v>
      </c>
      <c r="AQ46" s="23" t="n">
        <f aca="false">(MAX(0,AQ45)-MAX(0,AP45))*Assumptions!$B$37</f>
        <v>32498.4061842327</v>
      </c>
    </row>
    <row r="47" customFormat="false" ht="15" hidden="false" customHeight="false" outlineLevel="0" collapsed="false">
      <c r="A47" s="3" t="s">
        <v>120</v>
      </c>
      <c r="B47" s="30" t="n">
        <f aca="false">B44-B46</f>
        <v>-10841</v>
      </c>
      <c r="C47" s="30" t="n">
        <f aca="false">C44-C46</f>
        <v>-10352</v>
      </c>
      <c r="D47" s="30" t="n">
        <f aca="false">D44-D46</f>
        <v>-10107.5</v>
      </c>
      <c r="E47" s="30" t="n">
        <f aca="false">E44-E46</f>
        <v>-9863</v>
      </c>
      <c r="F47" s="30" t="n">
        <f aca="false">F44-F46</f>
        <v>-17157.6</v>
      </c>
      <c r="G47" s="30" t="n">
        <f aca="false">G44-G46</f>
        <v>-17157.6</v>
      </c>
      <c r="H47" s="30" t="n">
        <f aca="false">H44-H46</f>
        <v>-17765.568</v>
      </c>
      <c r="I47" s="30" t="n">
        <f aca="false">I44-I46</f>
        <v>-22966.8408152174</v>
      </c>
      <c r="J47" s="30" t="n">
        <f aca="false">J44-J46</f>
        <v>-19239.5606652446</v>
      </c>
      <c r="K47" s="30" t="n">
        <f aca="false">K44-K46</f>
        <v>-17644.5092751122</v>
      </c>
      <c r="L47" s="30" t="n">
        <f aca="false">L44-L46</f>
        <v>-16032.0641498984</v>
      </c>
      <c r="M47" s="30" t="n">
        <f aca="false">M44-M46</f>
        <v>-14402.955511415</v>
      </c>
      <c r="N47" s="30" t="n">
        <f aca="false">N44-N46</f>
        <v>-19512.2363070026</v>
      </c>
      <c r="O47" s="30" t="n">
        <f aca="false">O44-O46</f>
        <v>-16992.8884774582</v>
      </c>
      <c r="P47" s="30" t="n">
        <f aca="false">P44-P46</f>
        <v>-14450.9274479458</v>
      </c>
      <c r="Q47" s="30" t="n">
        <f aca="false">Q44-Q46</f>
        <v>-11887.3624963619</v>
      </c>
      <c r="R47" s="30" t="n">
        <f aca="false">R44-R46</f>
        <v>-6133.7495880131</v>
      </c>
      <c r="S47" s="30" t="n">
        <f aca="false">S44-S46</f>
        <v>-2620.9908120452</v>
      </c>
      <c r="T47" s="30" t="n">
        <f aca="false">T44-T46</f>
        <v>-11908.2699220749</v>
      </c>
      <c r="U47" s="30" t="n">
        <f aca="false">U44-U46</f>
        <v>-7411.61832705014</v>
      </c>
      <c r="V47" s="30" t="n">
        <f aca="false">V44-V46</f>
        <v>-2885.41496120427</v>
      </c>
      <c r="W47" s="30" t="n">
        <f aca="false">W44-W46</f>
        <v>1668.85909802181</v>
      </c>
      <c r="X47" s="30" t="n">
        <f aca="false">X44-X46</f>
        <v>9583.77325598379</v>
      </c>
      <c r="Y47" s="30" t="n">
        <f aca="false">Y44-Y46</f>
        <v>15173.6341526631</v>
      </c>
      <c r="Z47" s="30" t="n">
        <f aca="false">Z44-Z46</f>
        <v>4134.97678645632</v>
      </c>
      <c r="AA47" s="30" t="n">
        <f aca="false">AA44-AA46</f>
        <v>9781.42263544601</v>
      </c>
      <c r="AB47" s="30" t="n">
        <f aca="false">AB44-AB46</f>
        <v>15453.7955306514</v>
      </c>
      <c r="AC47" s="30" t="n">
        <f aca="false">AC44-AC46</f>
        <v>24621.7405943533</v>
      </c>
      <c r="AD47" s="30" t="n">
        <f aca="false">AD44-AD46</f>
        <v>31387.5344406146</v>
      </c>
      <c r="AE47" s="30" t="n">
        <f aca="false">AE44-AE46</f>
        <v>38178.65919054</v>
      </c>
      <c r="AF47" s="30" t="n">
        <f aca="false">AF44-AF46</f>
        <v>39686.2044794223</v>
      </c>
      <c r="AG47" s="30" t="n">
        <f aca="false">AG44-AG46</f>
        <v>46243.8087933619</v>
      </c>
      <c r="AH47" s="30" t="n">
        <f aca="false">AH44-AH46</f>
        <v>49341.4211583463</v>
      </c>
      <c r="AI47" s="30" t="n">
        <f aca="false">AI44-AI46</f>
        <v>41415.5810800203</v>
      </c>
      <c r="AJ47" s="30" t="n">
        <f aca="false">AJ44-AJ46</f>
        <v>45870.7672873169</v>
      </c>
      <c r="AK47" s="30" t="n">
        <f aca="false">AK44-AK46</f>
        <v>50281.5060160544</v>
      </c>
      <c r="AL47" s="30" t="n">
        <f aca="false">AL44-AL46</f>
        <v>54648.0999068613</v>
      </c>
      <c r="AM47" s="30" t="n">
        <f aca="false">AM44-AM46</f>
        <v>58970.853508798</v>
      </c>
      <c r="AN47" s="30" t="n">
        <f aca="false">AN44-AN46</f>
        <v>63250.0731274428</v>
      </c>
      <c r="AO47" s="30" t="n">
        <f aca="false">AO44-AO46</f>
        <v>67486.0666777607</v>
      </c>
      <c r="AP47" s="30" t="n">
        <f aca="false">AP44-AP46</f>
        <v>71679.1435416252</v>
      </c>
      <c r="AQ47" s="30" t="n">
        <f aca="false">AQ44-AQ46</f>
        <v>75829.6144298763</v>
      </c>
    </row>
    <row r="48" customFormat="false" ht="15" hidden="false" customHeight="false" outlineLevel="0" collapsed="false">
      <c r="A48" s="3" t="s">
        <v>121</v>
      </c>
      <c r="B48" s="30" t="n">
        <f aca="false">B47</f>
        <v>-10841</v>
      </c>
      <c r="C48" s="30" t="n">
        <f aca="false">B48+C47</f>
        <v>-21193</v>
      </c>
      <c r="D48" s="30" t="n">
        <f aca="false">C48+D47</f>
        <v>-31300.5</v>
      </c>
      <c r="E48" s="30" t="n">
        <f aca="false">D48+E47</f>
        <v>-41163.5</v>
      </c>
      <c r="F48" s="30" t="n">
        <f aca="false">E48+F47</f>
        <v>-58321.1</v>
      </c>
      <c r="G48" s="30" t="n">
        <f aca="false">F48+G47</f>
        <v>-75478.7</v>
      </c>
      <c r="H48" s="30" t="n">
        <f aca="false">G48+H47</f>
        <v>-93244.268</v>
      </c>
      <c r="I48" s="30" t="n">
        <f aca="false">H48+I47</f>
        <v>-116211.108815217</v>
      </c>
      <c r="J48" s="30" t="n">
        <f aca="false">I48+J47</f>
        <v>-135450.669480462</v>
      </c>
      <c r="K48" s="30" t="n">
        <f aca="false">J48+K47</f>
        <v>-153095.178755574</v>
      </c>
      <c r="L48" s="30" t="n">
        <f aca="false">K48+L47</f>
        <v>-169127.242905472</v>
      </c>
      <c r="M48" s="30" t="n">
        <f aca="false">L48+M47</f>
        <v>-183530.198416887</v>
      </c>
      <c r="N48" s="30" t="n">
        <f aca="false">M48+N47</f>
        <v>-203042.43472389</v>
      </c>
      <c r="O48" s="30" t="n">
        <f aca="false">N48+O47</f>
        <v>-220035.323201348</v>
      </c>
      <c r="P48" s="30" t="n">
        <f aca="false">O48+P47</f>
        <v>-234486.250649294</v>
      </c>
      <c r="Q48" s="30" t="n">
        <f aca="false">P48+Q47</f>
        <v>-246373.613145656</v>
      </c>
      <c r="R48" s="30" t="n">
        <f aca="false">Q48+R47</f>
        <v>-252507.362733669</v>
      </c>
      <c r="S48" s="30" t="n">
        <f aca="false">R48+S47</f>
        <v>-255128.353545714</v>
      </c>
      <c r="T48" s="30" t="n">
        <f aca="false">S48+T47</f>
        <v>-267036.623467789</v>
      </c>
      <c r="U48" s="30" t="n">
        <f aca="false">T48+U47</f>
        <v>-274448.241794839</v>
      </c>
      <c r="V48" s="30" t="n">
        <f aca="false">U48+V47</f>
        <v>-277333.656756044</v>
      </c>
      <c r="W48" s="30" t="n">
        <f aca="false">V48+W47</f>
        <v>-275664.797658022</v>
      </c>
      <c r="X48" s="30" t="n">
        <f aca="false">W48+X47</f>
        <v>-266081.024402038</v>
      </c>
      <c r="Y48" s="30" t="n">
        <f aca="false">X48+Y47</f>
        <v>-250907.390249375</v>
      </c>
      <c r="Z48" s="30" t="n">
        <f aca="false">Y48+Z47</f>
        <v>-246772.413462919</v>
      </c>
      <c r="AA48" s="30" t="n">
        <f aca="false">Z48+AA47</f>
        <v>-236990.990827473</v>
      </c>
      <c r="AB48" s="30" t="n">
        <f aca="false">AA48+AB47</f>
        <v>-221537.195296821</v>
      </c>
      <c r="AC48" s="30" t="n">
        <f aca="false">AB48+AC47</f>
        <v>-196915.454702468</v>
      </c>
      <c r="AD48" s="30" t="n">
        <f aca="false">AC48+AD47</f>
        <v>-165527.920261853</v>
      </c>
      <c r="AE48" s="30" t="n">
        <f aca="false">AD48+AE47</f>
        <v>-127349.261071313</v>
      </c>
      <c r="AF48" s="30" t="n">
        <f aca="false">AE48+AF47</f>
        <v>-87663.056591891</v>
      </c>
      <c r="AG48" s="30" t="n">
        <f aca="false">AF48+AG47</f>
        <v>-41419.2477985291</v>
      </c>
      <c r="AH48" s="30" t="n">
        <f aca="false">AG48+AH47</f>
        <v>7922.17335981721</v>
      </c>
      <c r="AI48" s="30" t="n">
        <f aca="false">AH48+AI47</f>
        <v>49337.7544398375</v>
      </c>
      <c r="AJ48" s="30" t="n">
        <f aca="false">AI48+AJ47</f>
        <v>95208.5217271544</v>
      </c>
      <c r="AK48" s="30" t="n">
        <f aca="false">AJ48+AK47</f>
        <v>145490.027743209</v>
      </c>
      <c r="AL48" s="30" t="n">
        <f aca="false">AK48+AL47</f>
        <v>200138.12765007</v>
      </c>
      <c r="AM48" s="30" t="n">
        <f aca="false">AL48+AM47</f>
        <v>259108.981158868</v>
      </c>
      <c r="AN48" s="30" t="n">
        <f aca="false">AM48+AN47</f>
        <v>322359.054286311</v>
      </c>
      <c r="AO48" s="30" t="n">
        <f aca="false">AN48+AO47</f>
        <v>389845.120964072</v>
      </c>
      <c r="AP48" s="30" t="n">
        <f aca="false">AO48+AP47</f>
        <v>461524.264505697</v>
      </c>
      <c r="AQ48" s="30" t="n">
        <f aca="false">AP48+AQ47</f>
        <v>537353.878935573</v>
      </c>
    </row>
    <row r="49" customFormat="false" ht="15" hidden="false" customHeight="false" outlineLevel="0" collapsed="false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</row>
    <row r="50" customFormat="false" ht="15" hidden="false" customHeight="false" outlineLevel="0" collapsed="false">
      <c r="A50" s="8" t="s">
        <v>122</v>
      </c>
    </row>
    <row r="51" customFormat="false" ht="15" hidden="false" customHeight="false" outlineLevel="0" collapsed="false">
      <c r="A51" s="5" t="s">
        <v>123</v>
      </c>
      <c r="B51" s="23" t="n">
        <f aca="false">IF(B$4=Assumptions!$B$56,Assumptions!$B$55,0)</f>
        <v>0</v>
      </c>
      <c r="C51" s="23" t="n">
        <f aca="false">IF(C$4=Assumptions!$B$56,Assumptions!$B$55,0)</f>
        <v>0</v>
      </c>
      <c r="D51" s="23" t="n">
        <f aca="false">IF(D$4=Assumptions!$B$56,Assumptions!$B$55,0)</f>
        <v>0</v>
      </c>
      <c r="E51" s="23" t="n">
        <f aca="false">IF(E$4=Assumptions!$B$56,Assumptions!$B$55,0)</f>
        <v>0</v>
      </c>
      <c r="F51" s="23" t="n">
        <f aca="false">IF(F$4=Assumptions!$B$56,Assumptions!$B$55,0)</f>
        <v>0</v>
      </c>
      <c r="G51" s="23" t="n">
        <f aca="false">IF(G$4=Assumptions!$B$56,Assumptions!$B$55,0)</f>
        <v>0</v>
      </c>
      <c r="H51" s="23" t="n">
        <f aca="false">IF(H$4=Assumptions!$B$56,Assumptions!$B$55,0)</f>
        <v>500000</v>
      </c>
      <c r="I51" s="23" t="n">
        <f aca="false">IF(I$4=Assumptions!$B$56,Assumptions!$B$55,0)</f>
        <v>0</v>
      </c>
      <c r="J51" s="23" t="n">
        <f aca="false">IF(J$4=Assumptions!$B$56,Assumptions!$B$55,0)</f>
        <v>0</v>
      </c>
      <c r="K51" s="23" t="n">
        <f aca="false">IF(K$4=Assumptions!$B$56,Assumptions!$B$55,0)</f>
        <v>0</v>
      </c>
      <c r="L51" s="23" t="n">
        <f aca="false">IF(L$4=Assumptions!$B$56,Assumptions!$B$55,0)</f>
        <v>0</v>
      </c>
      <c r="M51" s="23" t="n">
        <f aca="false">IF(M$4=Assumptions!$B$56,Assumptions!$B$55,0)</f>
        <v>0</v>
      </c>
      <c r="N51" s="23" t="n">
        <f aca="false">IF(N$4=Assumptions!$B$56,Assumptions!$B$55,0)</f>
        <v>0</v>
      </c>
      <c r="O51" s="23" t="n">
        <f aca="false">IF(O$4=Assumptions!$B$56,Assumptions!$B$55,0)</f>
        <v>0</v>
      </c>
      <c r="P51" s="23" t="n">
        <f aca="false">IF(P$4=Assumptions!$B$56,Assumptions!$B$55,0)</f>
        <v>0</v>
      </c>
      <c r="Q51" s="23" t="n">
        <f aca="false">IF(Q$4=Assumptions!$B$56,Assumptions!$B$55,0)</f>
        <v>0</v>
      </c>
      <c r="R51" s="23" t="n">
        <f aca="false">IF(R$4=Assumptions!$B$56,Assumptions!$B$55,0)</f>
        <v>0</v>
      </c>
      <c r="S51" s="23" t="n">
        <f aca="false">IF(S$4=Assumptions!$B$56,Assumptions!$B$55,0)</f>
        <v>0</v>
      </c>
      <c r="T51" s="23" t="n">
        <f aca="false">IF(T$4=Assumptions!$B$56,Assumptions!$B$55,0)</f>
        <v>0</v>
      </c>
      <c r="U51" s="23" t="n">
        <f aca="false">IF(U$4=Assumptions!$B$56,Assumptions!$B$55,0)</f>
        <v>0</v>
      </c>
      <c r="V51" s="23" t="n">
        <f aca="false">IF(V$4=Assumptions!$B$56,Assumptions!$B$55,0)</f>
        <v>0</v>
      </c>
      <c r="W51" s="23" t="n">
        <f aca="false">IF(W$4=Assumptions!$B$56,Assumptions!$B$55,0)</f>
        <v>0</v>
      </c>
      <c r="X51" s="23" t="n">
        <f aca="false">IF(X$4=Assumptions!$B$56,Assumptions!$B$55,0)</f>
        <v>0</v>
      </c>
      <c r="Y51" s="23" t="n">
        <f aca="false">IF(Y$4=Assumptions!$B$56,Assumptions!$B$55,0)</f>
        <v>0</v>
      </c>
      <c r="Z51" s="23" t="n">
        <f aca="false">IF(Z$4=Assumptions!$B$56,Assumptions!$B$55,0)</f>
        <v>0</v>
      </c>
      <c r="AA51" s="23" t="n">
        <f aca="false">IF(AA$4=Assumptions!$B$56,Assumptions!$B$55,0)</f>
        <v>0</v>
      </c>
      <c r="AB51" s="23" t="n">
        <f aca="false">IF(AB$4=Assumptions!$B$56,Assumptions!$B$55,0)</f>
        <v>0</v>
      </c>
      <c r="AC51" s="23" t="n">
        <f aca="false">IF(AC$4=Assumptions!$B$56,Assumptions!$B$55,0)</f>
        <v>0</v>
      </c>
      <c r="AD51" s="23" t="n">
        <f aca="false">IF(AD$4=Assumptions!$B$56,Assumptions!$B$55,0)</f>
        <v>0</v>
      </c>
      <c r="AE51" s="23" t="n">
        <f aca="false">IF(AE$4=Assumptions!$B$56,Assumptions!$B$55,0)</f>
        <v>0</v>
      </c>
      <c r="AF51" s="23" t="n">
        <f aca="false">IF(AF$4=Assumptions!$B$56,Assumptions!$B$55,0)</f>
        <v>0</v>
      </c>
      <c r="AG51" s="23" t="n">
        <f aca="false">IF(AG$4=Assumptions!$B$56,Assumptions!$B$55,0)</f>
        <v>0</v>
      </c>
      <c r="AH51" s="23" t="n">
        <f aca="false">IF(AH$4=Assumptions!$B$56,Assumptions!$B$55,0)</f>
        <v>0</v>
      </c>
      <c r="AI51" s="23" t="n">
        <f aca="false">IF(AI$4=Assumptions!$B$56,Assumptions!$B$55,0)</f>
        <v>0</v>
      </c>
      <c r="AJ51" s="23" t="n">
        <f aca="false">IF(AJ$4=Assumptions!$B$56,Assumptions!$B$55,0)</f>
        <v>0</v>
      </c>
      <c r="AK51" s="23" t="n">
        <f aca="false">IF(AK$4=Assumptions!$B$56,Assumptions!$B$55,0)</f>
        <v>0</v>
      </c>
      <c r="AL51" s="23" t="n">
        <f aca="false">IF(AL$4=Assumptions!$B$56,Assumptions!$B$55,0)</f>
        <v>0</v>
      </c>
      <c r="AM51" s="23" t="n">
        <f aca="false">IF(AM$4=Assumptions!$B$56,Assumptions!$B$55,0)</f>
        <v>0</v>
      </c>
      <c r="AN51" s="23" t="n">
        <f aca="false">IF(AN$4=Assumptions!$B$56,Assumptions!$B$55,0)</f>
        <v>0</v>
      </c>
      <c r="AO51" s="23" t="n">
        <f aca="false">IF(AO$4=Assumptions!$B$56,Assumptions!$B$55,0)</f>
        <v>0</v>
      </c>
      <c r="AP51" s="23" t="n">
        <f aca="false">IF(AP$4=Assumptions!$B$56,Assumptions!$B$55,0)</f>
        <v>0</v>
      </c>
      <c r="AQ51" s="23" t="n">
        <f aca="false">IF(AQ$4=Assumptions!$B$56,Assumptions!$B$55,0)</f>
        <v>0</v>
      </c>
    </row>
    <row r="52" customFormat="false" ht="15" hidden="false" customHeight="false" outlineLevel="0" collapsed="false">
      <c r="A52" s="3" t="s">
        <v>124</v>
      </c>
      <c r="B52" s="30" t="n">
        <f aca="false">B47+B51+Assumptions!$B$57</f>
        <v>79159</v>
      </c>
      <c r="C52" s="30" t="n">
        <f aca="false">B52+C47+C51</f>
        <v>68807</v>
      </c>
      <c r="D52" s="30" t="n">
        <f aca="false">C52+D47+D51</f>
        <v>58699.5</v>
      </c>
      <c r="E52" s="30" t="n">
        <f aca="false">D52+E47+E51</f>
        <v>48836.5</v>
      </c>
      <c r="F52" s="30" t="n">
        <f aca="false">E52+F47+F51</f>
        <v>31678.9</v>
      </c>
      <c r="G52" s="30" t="n">
        <f aca="false">F52+G47+G51</f>
        <v>14521.3</v>
      </c>
      <c r="H52" s="30" t="n">
        <f aca="false">G52+H47+H51</f>
        <v>496755.732</v>
      </c>
      <c r="I52" s="30" t="n">
        <f aca="false">H52+I47+I51</f>
        <v>473788.891184783</v>
      </c>
      <c r="J52" s="30" t="n">
        <f aca="false">I52+J47+J51</f>
        <v>454549.330519538</v>
      </c>
      <c r="K52" s="30" t="n">
        <f aca="false">J52+K47+K51</f>
        <v>436904.821244426</v>
      </c>
      <c r="L52" s="30" t="n">
        <f aca="false">K52+L47+L51</f>
        <v>420872.757094528</v>
      </c>
      <c r="M52" s="30" t="n">
        <f aca="false">L52+M47+M51</f>
        <v>406469.801583113</v>
      </c>
      <c r="N52" s="30" t="n">
        <f aca="false">M52+N47+N51</f>
        <v>386957.56527611</v>
      </c>
      <c r="O52" s="30" t="n">
        <f aca="false">N52+O47+O51</f>
        <v>369964.676798652</v>
      </c>
      <c r="P52" s="30" t="n">
        <f aca="false">O52+P47+P51</f>
        <v>355513.749350706</v>
      </c>
      <c r="Q52" s="30" t="n">
        <f aca="false">P52+Q47+Q51</f>
        <v>343626.386854344</v>
      </c>
      <c r="R52" s="30" t="n">
        <f aca="false">Q52+R47+R51</f>
        <v>337492.637266331</v>
      </c>
      <c r="S52" s="30" t="n">
        <f aca="false">R52+S47+S51</f>
        <v>334871.646454286</v>
      </c>
      <c r="T52" s="30" t="n">
        <f aca="false">S52+T47+T51</f>
        <v>322963.376532211</v>
      </c>
      <c r="U52" s="30" t="n">
        <f aca="false">T52+U47+U51</f>
        <v>315551.758205161</v>
      </c>
      <c r="V52" s="30" t="n">
        <f aca="false">U52+V47+V51</f>
        <v>312666.343243957</v>
      </c>
      <c r="W52" s="30" t="n">
        <f aca="false">V52+W47+W51</f>
        <v>314335.202341978</v>
      </c>
      <c r="X52" s="30" t="n">
        <f aca="false">W52+X47+X51</f>
        <v>323918.975597962</v>
      </c>
      <c r="Y52" s="30" t="n">
        <f aca="false">X52+Y47+Y51</f>
        <v>339092.609750625</v>
      </c>
      <c r="Z52" s="30" t="n">
        <f aca="false">Y52+Z47+Z51</f>
        <v>343227.586537082</v>
      </c>
      <c r="AA52" s="30" t="n">
        <f aca="false">Z52+AA47+AA51</f>
        <v>353009.009172528</v>
      </c>
      <c r="AB52" s="30" t="n">
        <f aca="false">AA52+AB47+AB51</f>
        <v>368462.804703179</v>
      </c>
      <c r="AC52" s="30" t="n">
        <f aca="false">AB52+AC47+AC51</f>
        <v>393084.545297532</v>
      </c>
      <c r="AD52" s="30" t="n">
        <f aca="false">AC52+AD47+AD51</f>
        <v>424472.079738147</v>
      </c>
      <c r="AE52" s="30" t="n">
        <f aca="false">AD52+AE47+AE51</f>
        <v>462650.738928687</v>
      </c>
      <c r="AF52" s="30" t="n">
        <f aca="false">AE52+AF47+AF51</f>
        <v>502336.943408109</v>
      </c>
      <c r="AG52" s="30" t="n">
        <f aca="false">AF52+AG47+AG51</f>
        <v>548580.752201471</v>
      </c>
      <c r="AH52" s="30" t="n">
        <f aca="false">AG52+AH47+AH51</f>
        <v>597922.173359817</v>
      </c>
      <c r="AI52" s="30" t="n">
        <f aca="false">AH52+AI47+AI51</f>
        <v>639337.754439838</v>
      </c>
      <c r="AJ52" s="30" t="n">
        <f aca="false">AI52+AJ47+AJ51</f>
        <v>685208.521727155</v>
      </c>
      <c r="AK52" s="30" t="n">
        <f aca="false">AJ52+AK47+AK51</f>
        <v>735490.027743209</v>
      </c>
      <c r="AL52" s="30" t="n">
        <f aca="false">AK52+AL47+AL51</f>
        <v>790138.12765007</v>
      </c>
      <c r="AM52" s="30" t="n">
        <f aca="false">AL52+AM47+AM51</f>
        <v>849108.981158868</v>
      </c>
      <c r="AN52" s="30" t="n">
        <f aca="false">AM52+AN47+AN51</f>
        <v>912359.054286311</v>
      </c>
      <c r="AO52" s="30" t="n">
        <f aca="false">AN52+AO47+AO51</f>
        <v>979845.120964072</v>
      </c>
      <c r="AP52" s="30" t="n">
        <f aca="false">AO52+AP47+AP51</f>
        <v>1051524.2645057</v>
      </c>
      <c r="AQ52" s="30" t="n">
        <f aca="false">AP52+AQ47+AQ51</f>
        <v>1127353.87893557</v>
      </c>
    </row>
    <row r="53" customFormat="false" ht="15" hidden="false" customHeight="false" outlineLevel="0" collapsed="false">
      <c r="A53" s="5" t="s">
        <v>125</v>
      </c>
      <c r="B53" s="12"/>
      <c r="C53" s="12"/>
      <c r="D53" s="12" t="n">
        <f aca="false">IF(AVERAGE(B47:D47)&gt;=0,"",-D52/AVERAGE(B47:D47))</f>
        <v>5.62606028657689</v>
      </c>
      <c r="E53" s="12" t="n">
        <f aca="false">IF(AVERAGE(C47:E47)&gt;=0,"",-E52/AVERAGE(C47:E47))</f>
        <v>4.83170912688598</v>
      </c>
      <c r="F53" s="12" t="n">
        <f aca="false">IF(AVERAGE(D47:F47)&gt;=0,"",-F52/AVERAGE(D47:F47))</f>
        <v>2.55969737207129</v>
      </c>
      <c r="G53" s="12" t="n">
        <f aca="false">IF(AVERAGE(E47:G47)&gt;=0,"",-G52/AVERAGE(E47:G47))</f>
        <v>0.986094951808811</v>
      </c>
      <c r="H53" s="12" t="n">
        <f aca="false">IF(AVERAGE(F47:H47)&gt;=0,"",-H52/AVERAGE(F47:H47))</f>
        <v>28.6145395551771</v>
      </c>
      <c r="I53" s="12" t="n">
        <f aca="false">IF(AVERAGE(G47:I47)&gt;=0,"",-I52/AVERAGE(G47:I47))</f>
        <v>24.5528840406864</v>
      </c>
      <c r="J53" s="12" t="n">
        <f aca="false">IF(AVERAGE(H47:J47)&gt;=0,"",-J52/AVERAGE(H47:J47))</f>
        <v>22.7380892002033</v>
      </c>
      <c r="K53" s="12" t="n">
        <f aca="false">IF(AVERAGE(I47:K47)&gt;=0,"",-K52/AVERAGE(I47:K47))</f>
        <v>21.8996577860965</v>
      </c>
      <c r="L53" s="12" t="n">
        <f aca="false">IF(AVERAGE(J47:L47)&gt;=0,"",-L52/AVERAGE(J47:L47))</f>
        <v>23.860742909337</v>
      </c>
      <c r="M53" s="12" t="n">
        <f aca="false">IF(AVERAGE(K47:M47)&gt;=0,"",-M52/AVERAGE(K47:M47))</f>
        <v>25.3623409322861</v>
      </c>
      <c r="N53" s="12" t="n">
        <f aca="false">IF(AVERAGE(L47:N47)&gt;=0,"",-N52/AVERAGE(L47:N47))</f>
        <v>23.2419714221083</v>
      </c>
      <c r="O53" s="12" t="n">
        <f aca="false">IF(AVERAGE(M47:O47)&gt;=0,"",-O52/AVERAGE(M47:O47))</f>
        <v>21.8019226799615</v>
      </c>
      <c r="P53" s="12" t="n">
        <f aca="false">IF(AVERAGE(N47:P47)&gt;=0,"",-P52/AVERAGE(N47:P47))</f>
        <v>20.9306098358583</v>
      </c>
      <c r="Q53" s="12" t="n">
        <f aca="false">IF(AVERAGE(O47:Q47)&gt;=0,"",-Q52/AVERAGE(O47:Q47))</f>
        <v>23.7907021712848</v>
      </c>
      <c r="R53" s="12" t="n">
        <f aca="false">IF(AVERAGE(P47:R47)&gt;=0,"",-R52/AVERAGE(P47:R47))</f>
        <v>31.1799913519825</v>
      </c>
      <c r="S53" s="12" t="n">
        <f aca="false">IF(AVERAGE(Q47:S47)&gt;=0,"",-S52/AVERAGE(Q47:S47))</f>
        <v>48.668245885795</v>
      </c>
      <c r="T53" s="12" t="n">
        <f aca="false">IF(AVERAGE(R47:T47)&gt;=0,"",-T52/AVERAGE(R47:T47))</f>
        <v>46.8900762518038</v>
      </c>
      <c r="U53" s="12" t="n">
        <f aca="false">IF(AVERAGE(S47:U47)&gt;=0,"",-U52/AVERAGE(S47:U47))</f>
        <v>43.1457313982839</v>
      </c>
      <c r="V53" s="12" t="n">
        <f aca="false">IF(AVERAGE(T47:V47)&gt;=0,"",-V52/AVERAGE(T47:V47))</f>
        <v>42.2421176079928</v>
      </c>
      <c r="W53" s="12" t="n">
        <f aca="false">IF(AVERAGE(U47:W47)&gt;=0,"",-W52/AVERAGE(U47:W47))</f>
        <v>109.293760908704</v>
      </c>
      <c r="X53" s="12" t="str">
        <f aca="false">IF(AVERAGE(V47:X47)&gt;=0,"",-X52/AVERAGE(V47:X47))</f>
        <v/>
      </c>
      <c r="Y53" s="12" t="str">
        <f aca="false">IF(AVERAGE(W47:Y47)&gt;=0,"",-Y52/AVERAGE(W47:Y47))</f>
        <v/>
      </c>
      <c r="Z53" s="12" t="str">
        <f aca="false">IF(AVERAGE(X47:Z47)&gt;=0,"",-Z52/AVERAGE(X47:Z47))</f>
        <v/>
      </c>
      <c r="AA53" s="12" t="str">
        <f aca="false">IF(AVERAGE(Y47:AA47)&gt;=0,"",-AA52/AVERAGE(Y47:AA47))</f>
        <v/>
      </c>
      <c r="AB53" s="12" t="str">
        <f aca="false">IF(AVERAGE(Z47:AB47)&gt;=0,"",-AB52/AVERAGE(Z47:AB47))</f>
        <v/>
      </c>
      <c r="AC53" s="12" t="str">
        <f aca="false">IF(AVERAGE(AA47:AC47)&gt;=0,"",-AC52/AVERAGE(AA47:AC47))</f>
        <v/>
      </c>
      <c r="AD53" s="12" t="str">
        <f aca="false">IF(AVERAGE(AB47:AD47)&gt;=0,"",-AD52/AVERAGE(AB47:AD47))</f>
        <v/>
      </c>
      <c r="AE53" s="12" t="str">
        <f aca="false">IF(AVERAGE(AC47:AE47)&gt;=0,"",-AE52/AVERAGE(AC47:AE47))</f>
        <v/>
      </c>
      <c r="AF53" s="12" t="str">
        <f aca="false">IF(AVERAGE(AD47:AF47)&gt;=0,"",-AF52/AVERAGE(AD47:AF47))</f>
        <v/>
      </c>
      <c r="AG53" s="12" t="str">
        <f aca="false">IF(AVERAGE(AE47:AG47)&gt;=0,"",-AG52/AVERAGE(AE47:AG47))</f>
        <v/>
      </c>
      <c r="AH53" s="12" t="str">
        <f aca="false">IF(AVERAGE(AF47:AH47)&gt;=0,"",-AH52/AVERAGE(AF47:AH47))</f>
        <v/>
      </c>
      <c r="AI53" s="12" t="str">
        <f aca="false">IF(AVERAGE(AG47:AI47)&gt;=0,"",-AI52/AVERAGE(AG47:AI47))</f>
        <v/>
      </c>
      <c r="AJ53" s="12" t="str">
        <f aca="false">IF(AVERAGE(AH47:AJ47)&gt;=0,"",-AJ52/AVERAGE(AH47:AJ47))</f>
        <v/>
      </c>
      <c r="AK53" s="12" t="str">
        <f aca="false">IF(AVERAGE(AI47:AK47)&gt;=0,"",-AK52/AVERAGE(AI47:AK47))</f>
        <v/>
      </c>
      <c r="AL53" s="12" t="str">
        <f aca="false">IF(AVERAGE(AJ47:AL47)&gt;=0,"",-AL52/AVERAGE(AJ47:AL47))</f>
        <v/>
      </c>
      <c r="AM53" s="12" t="str">
        <f aca="false">IF(AVERAGE(AK47:AM47)&gt;=0,"",-AM52/AVERAGE(AK47:AM47))</f>
        <v/>
      </c>
      <c r="AN53" s="12" t="str">
        <f aca="false">IF(AVERAGE(AL47:AN47)&gt;=0,"",-AN52/AVERAGE(AL47:AN47))</f>
        <v/>
      </c>
      <c r="AO53" s="12" t="str">
        <f aca="false">IF(AVERAGE(AM47:AO47)&gt;=0,"",-AO52/AVERAGE(AM47:AO47))</f>
        <v/>
      </c>
      <c r="AP53" s="12" t="str">
        <f aca="false">IF(AVERAGE(AN47:AP47)&gt;=0,"",-AP52/AVERAGE(AN47:AP47))</f>
        <v/>
      </c>
      <c r="AQ53" s="12" t="str">
        <f aca="false">IF(AVERAGE(AO47:AQ47)&gt;=0,"",-AQ52/AVERAGE(AO47:AQ47))</f>
        <v/>
      </c>
    </row>
    <row r="54" customFormat="false" ht="15" hidden="false" customHeight="false" outlineLevel="0" collapsed="false">
      <c r="A54" s="5" t="s">
        <v>52</v>
      </c>
      <c r="B54" s="18" t="n">
        <f aca="false">SUMPRODUCT((Assumptions!$C$45:$C$52&lt;=EDATE(B$4,-Assumptions!$G$16))*Assumptions!$G$45:$G$52)</f>
        <v>1</v>
      </c>
      <c r="C54" s="18" t="n">
        <f aca="false">SUMPRODUCT((Assumptions!$C$45:$C$52&lt;=EDATE(C$4,-Assumptions!$G$16))*Assumptions!$G$45:$G$52)</f>
        <v>1</v>
      </c>
      <c r="D54" s="18" t="n">
        <f aca="false">SUMPRODUCT((Assumptions!$C$45:$C$52&lt;=EDATE(D$4,-Assumptions!$G$16))*Assumptions!$G$45:$G$52)</f>
        <v>1</v>
      </c>
      <c r="E54" s="18" t="n">
        <f aca="false">SUMPRODUCT((Assumptions!$C$45:$C$52&lt;=EDATE(E$4,-Assumptions!$G$16))*Assumptions!$G$45:$G$52)</f>
        <v>1</v>
      </c>
      <c r="F54" s="18" t="n">
        <f aca="false">SUMPRODUCT((Assumptions!$C$45:$C$52&lt;=EDATE(F$4,-Assumptions!$G$16))*Assumptions!$G$45:$G$52)</f>
        <v>2</v>
      </c>
      <c r="G54" s="18" t="n">
        <f aca="false">SUMPRODUCT((Assumptions!$C$45:$C$52&lt;=EDATE(G$4,-Assumptions!$G$16))*Assumptions!$G$45:$G$52)</f>
        <v>2</v>
      </c>
      <c r="H54" s="18" t="n">
        <f aca="false">SUMPRODUCT((Assumptions!$C$45:$C$52&lt;=EDATE(H$4,-Assumptions!$G$16))*Assumptions!$G$45:$G$52)</f>
        <v>2</v>
      </c>
      <c r="I54" s="18" t="n">
        <f aca="false">SUMPRODUCT((Assumptions!$C$45:$C$52&lt;=EDATE(I$4,-Assumptions!$G$16))*Assumptions!$G$45:$G$52)</f>
        <v>3</v>
      </c>
      <c r="J54" s="18" t="n">
        <f aca="false">SUMPRODUCT((Assumptions!$C$45:$C$52&lt;=EDATE(J$4,-Assumptions!$G$16))*Assumptions!$G$45:$G$52)</f>
        <v>3</v>
      </c>
      <c r="K54" s="18" t="n">
        <f aca="false">SUMPRODUCT((Assumptions!$C$45:$C$52&lt;=EDATE(K$4,-Assumptions!$G$16))*Assumptions!$G$45:$G$52)</f>
        <v>3</v>
      </c>
      <c r="L54" s="18" t="n">
        <f aca="false">SUMPRODUCT((Assumptions!$C$45:$C$52&lt;=EDATE(L$4,-Assumptions!$G$16))*Assumptions!$G$45:$G$52)</f>
        <v>3</v>
      </c>
      <c r="M54" s="18" t="n">
        <f aca="false">SUMPRODUCT((Assumptions!$C$45:$C$52&lt;=EDATE(M$4,-Assumptions!$G$16))*Assumptions!$G$45:$G$52)</f>
        <v>3</v>
      </c>
      <c r="N54" s="18" t="n">
        <f aca="false">SUMPRODUCT((Assumptions!$C$45:$C$52&lt;=EDATE(N$4,-Assumptions!$G$16))*Assumptions!$G$45:$G$52)</f>
        <v>4</v>
      </c>
      <c r="O54" s="18" t="n">
        <f aca="false">SUMPRODUCT((Assumptions!$C$45:$C$52&lt;=EDATE(O$4,-Assumptions!$G$16))*Assumptions!$G$45:$G$52)</f>
        <v>4</v>
      </c>
      <c r="P54" s="18" t="n">
        <f aca="false">SUMPRODUCT((Assumptions!$C$45:$C$52&lt;=EDATE(P$4,-Assumptions!$G$16))*Assumptions!$G$45:$G$52)</f>
        <v>4</v>
      </c>
      <c r="Q54" s="18" t="n">
        <f aca="false">SUMPRODUCT((Assumptions!$C$45:$C$52&lt;=EDATE(Q$4,-Assumptions!$G$16))*Assumptions!$G$45:$G$52)</f>
        <v>4</v>
      </c>
      <c r="R54" s="18" t="n">
        <f aca="false">SUMPRODUCT((Assumptions!$C$45:$C$52&lt;=EDATE(R$4,-Assumptions!$G$16))*Assumptions!$G$45:$G$52)</f>
        <v>4</v>
      </c>
      <c r="S54" s="18" t="n">
        <f aca="false">SUMPRODUCT((Assumptions!$C$45:$C$52&lt;=EDATE(S$4,-Assumptions!$G$16))*Assumptions!$G$45:$G$52)</f>
        <v>4</v>
      </c>
      <c r="T54" s="18" t="n">
        <f aca="false">SUMPRODUCT((Assumptions!$C$45:$C$52&lt;=EDATE(T$4,-Assumptions!$G$16))*Assumptions!$G$45:$G$52)</f>
        <v>5</v>
      </c>
      <c r="U54" s="18" t="n">
        <f aca="false">SUMPRODUCT((Assumptions!$C$45:$C$52&lt;=EDATE(U$4,-Assumptions!$G$16))*Assumptions!$G$45:$G$52)</f>
        <v>5</v>
      </c>
      <c r="V54" s="18" t="n">
        <f aca="false">SUMPRODUCT((Assumptions!$C$45:$C$52&lt;=EDATE(V$4,-Assumptions!$G$16))*Assumptions!$G$45:$G$52)</f>
        <v>5</v>
      </c>
      <c r="W54" s="18" t="n">
        <f aca="false">SUMPRODUCT((Assumptions!$C$45:$C$52&lt;=EDATE(W$4,-Assumptions!$G$16))*Assumptions!$G$45:$G$52)</f>
        <v>5</v>
      </c>
      <c r="X54" s="18" t="n">
        <f aca="false">SUMPRODUCT((Assumptions!$C$45:$C$52&lt;=EDATE(X$4,-Assumptions!$G$16))*Assumptions!$G$45:$G$52)</f>
        <v>5</v>
      </c>
      <c r="Y54" s="18" t="n">
        <f aca="false">SUMPRODUCT((Assumptions!$C$45:$C$52&lt;=EDATE(Y$4,-Assumptions!$G$16))*Assumptions!$G$45:$G$52)</f>
        <v>5</v>
      </c>
      <c r="Z54" s="18" t="n">
        <f aca="false">SUMPRODUCT((Assumptions!$C$45:$C$52&lt;=EDATE(Z$4,-Assumptions!$G$16))*Assumptions!$G$45:$G$52)</f>
        <v>7</v>
      </c>
      <c r="AA54" s="18" t="n">
        <f aca="false">SUMPRODUCT((Assumptions!$C$45:$C$52&lt;=EDATE(AA$4,-Assumptions!$G$16))*Assumptions!$G$45:$G$52)</f>
        <v>7</v>
      </c>
      <c r="AB54" s="18" t="n">
        <f aca="false">SUMPRODUCT((Assumptions!$C$45:$C$52&lt;=EDATE(AB$4,-Assumptions!$G$16))*Assumptions!$G$45:$G$52)</f>
        <v>7</v>
      </c>
      <c r="AC54" s="18" t="n">
        <f aca="false">SUMPRODUCT((Assumptions!$C$45:$C$52&lt;=EDATE(AC$4,-Assumptions!$G$16))*Assumptions!$G$45:$G$52)</f>
        <v>7</v>
      </c>
      <c r="AD54" s="18" t="n">
        <f aca="false">SUMPRODUCT((Assumptions!$C$45:$C$52&lt;=EDATE(AD$4,-Assumptions!$G$16))*Assumptions!$G$45:$G$52)</f>
        <v>7</v>
      </c>
      <c r="AE54" s="18" t="n">
        <f aca="false">SUMPRODUCT((Assumptions!$C$45:$C$52&lt;=EDATE(AE$4,-Assumptions!$G$16))*Assumptions!$G$45:$G$52)</f>
        <v>7</v>
      </c>
      <c r="AF54" s="18" t="n">
        <f aca="false">SUMPRODUCT((Assumptions!$C$45:$C$52&lt;=EDATE(AF$4,-Assumptions!$G$16))*Assumptions!$G$45:$G$52)</f>
        <v>7</v>
      </c>
      <c r="AG54" s="18" t="n">
        <f aca="false">SUMPRODUCT((Assumptions!$C$45:$C$52&lt;=EDATE(AG$4,-Assumptions!$G$16))*Assumptions!$G$45:$G$52)</f>
        <v>7</v>
      </c>
      <c r="AH54" s="18" t="n">
        <f aca="false">SUMPRODUCT((Assumptions!$C$45:$C$52&lt;=EDATE(AH$4,-Assumptions!$G$16))*Assumptions!$G$45:$G$52)</f>
        <v>7</v>
      </c>
      <c r="AI54" s="18" t="n">
        <f aca="false">SUMPRODUCT((Assumptions!$C$45:$C$52&lt;=EDATE(AI$4,-Assumptions!$G$16))*Assumptions!$G$45:$G$52)</f>
        <v>7</v>
      </c>
      <c r="AJ54" s="18" t="n">
        <f aca="false">SUMPRODUCT((Assumptions!$C$45:$C$52&lt;=EDATE(AJ$4,-Assumptions!$G$16))*Assumptions!$G$45:$G$52)</f>
        <v>7</v>
      </c>
      <c r="AK54" s="18" t="n">
        <f aca="false">SUMPRODUCT((Assumptions!$C$45:$C$52&lt;=EDATE(AK$4,-Assumptions!$G$16))*Assumptions!$G$45:$G$52)</f>
        <v>7</v>
      </c>
      <c r="AL54" s="18" t="n">
        <f aca="false">SUMPRODUCT((Assumptions!$C$45:$C$52&lt;=EDATE(AL$4,-Assumptions!$G$16))*Assumptions!$G$45:$G$52)</f>
        <v>7</v>
      </c>
      <c r="AM54" s="18" t="n">
        <f aca="false">SUMPRODUCT((Assumptions!$C$45:$C$52&lt;=EDATE(AM$4,-Assumptions!$G$16))*Assumptions!$G$45:$G$52)</f>
        <v>7</v>
      </c>
      <c r="AN54" s="18" t="n">
        <f aca="false">SUMPRODUCT((Assumptions!$C$45:$C$52&lt;=EDATE(AN$4,-Assumptions!$G$16))*Assumptions!$G$45:$G$52)</f>
        <v>7</v>
      </c>
      <c r="AO54" s="18" t="n">
        <f aca="false">SUMPRODUCT((Assumptions!$C$45:$C$52&lt;=EDATE(AO$4,-Assumptions!$G$16))*Assumptions!$G$45:$G$52)</f>
        <v>7</v>
      </c>
      <c r="AP54" s="18" t="n">
        <f aca="false">SUMPRODUCT((Assumptions!$C$45:$C$52&lt;=EDATE(AP$4,-Assumptions!$G$16))*Assumptions!$G$45:$G$52)</f>
        <v>7</v>
      </c>
      <c r="AQ54" s="18" t="n">
        <f aca="false">SUMPRODUCT((Assumptions!$C$45:$C$52&lt;=EDATE(AQ$4,-Assumptions!$G$16))*Assumptions!$G$45:$G$52)</f>
        <v>7</v>
      </c>
    </row>
    <row r="55" customFormat="false" ht="15" hidden="false" customHeight="false" outlineLevel="0" collapsed="false">
      <c r="A55" s="5" t="s">
        <v>126</v>
      </c>
      <c r="B55" s="23" t="n">
        <f aca="false">B35+B37+SUMPRODUCT((Assumptions!$C$45:$C$52&lt;=EDATE(B$4,-Assumptions!$G$16))*Assumptions!$F$45:$F$52*Assumptions!$B$45:$B$52)*Assumptions!$B$27*(1+Assumptions!$B$28)^MAX(0,B$5-2026)</f>
        <v>2000</v>
      </c>
      <c r="C55" s="23" t="n">
        <f aca="false">C35+C37+SUMPRODUCT((Assumptions!$C$45:$C$52&lt;=EDATE(C$4,-Assumptions!$G$16))*Assumptions!$F$45:$F$52*Assumptions!$B$45:$B$52)*Assumptions!$B$27*(1+Assumptions!$B$28)^MAX(0,C$5-2026)</f>
        <v>2000</v>
      </c>
      <c r="D55" s="23" t="n">
        <f aca="false">D35+D37+SUMPRODUCT((Assumptions!$C$45:$C$52&lt;=EDATE(D$4,-Assumptions!$G$16))*Assumptions!$F$45:$F$52*Assumptions!$B$45:$B$52)*Assumptions!$B$27*(1+Assumptions!$B$28)^MAX(0,D$5-2026)</f>
        <v>2000</v>
      </c>
      <c r="E55" s="23" t="n">
        <f aca="false">E35+E37+SUMPRODUCT((Assumptions!$C$45:$C$52&lt;=EDATE(E$4,-Assumptions!$G$16))*Assumptions!$F$45:$F$52*Assumptions!$B$45:$B$52)*Assumptions!$B$27*(1+Assumptions!$B$28)^MAX(0,E$5-2026)</f>
        <v>2000</v>
      </c>
      <c r="F55" s="23" t="n">
        <f aca="false">F35+F37+SUMPRODUCT((Assumptions!$C$45:$C$52&lt;=EDATE(F$4,-Assumptions!$G$16))*Assumptions!$F$45:$F$52*Assumptions!$B$45:$B$52)*Assumptions!$B$27*(1+Assumptions!$B$28)^MAX(0,F$5-2026)</f>
        <v>9076</v>
      </c>
      <c r="G55" s="23" t="n">
        <f aca="false">G35+G37+SUMPRODUCT((Assumptions!$C$45:$C$52&lt;=EDATE(G$4,-Assumptions!$G$16))*Assumptions!$F$45:$F$52*Assumptions!$B$45:$B$52)*Assumptions!$B$27*(1+Assumptions!$B$28)^MAX(0,G$5-2026)</f>
        <v>9076</v>
      </c>
      <c r="H55" s="23" t="n">
        <f aca="false">H35+H37+SUMPRODUCT((Assumptions!$C$45:$C$52&lt;=EDATE(H$4,-Assumptions!$G$16))*Assumptions!$F$45:$F$52*Assumptions!$B$45:$B$52)*Assumptions!$B$27*(1+Assumptions!$B$28)^MAX(0,H$5-2026)</f>
        <v>19924.28</v>
      </c>
      <c r="I55" s="23" t="n">
        <f aca="false">I35+I37+SUMPRODUCT((Assumptions!$C$45:$C$52&lt;=EDATE(I$4,-Assumptions!$G$16))*Assumptions!$F$45:$F$52*Assumptions!$B$45:$B$52)*Assumptions!$B$27*(1+Assumptions!$B$28)^MAX(0,I$5-2026)</f>
        <v>14251.932173913</v>
      </c>
      <c r="J55" s="23" t="n">
        <f aca="false">J35+J37+SUMPRODUCT((Assumptions!$C$45:$C$52&lt;=EDATE(J$4,-Assumptions!$G$16))*Assumptions!$F$45:$F$52*Assumptions!$B$45:$B$52)*Assumptions!$B$27*(1+Assumptions!$B$28)^MAX(0,J$5-2026)</f>
        <v>15246.8886956522</v>
      </c>
      <c r="K55" s="23" t="n">
        <f aca="false">K35+K37+SUMPRODUCT((Assumptions!$C$45:$C$52&lt;=EDATE(K$4,-Assumptions!$G$16))*Assumptions!$F$45:$F$52*Assumptions!$B$45:$B$52)*Assumptions!$B$27*(1+Assumptions!$B$28)^MAX(0,K$5-2026)</f>
        <v>15278.1930434783</v>
      </c>
      <c r="L55" s="23" t="n">
        <f aca="false">L35+L37+SUMPRODUCT((Assumptions!$C$45:$C$52&lt;=EDATE(L$4,-Assumptions!$G$16))*Assumptions!$F$45:$F$52*Assumptions!$B$45:$B$52)*Assumptions!$B$27*(1+Assumptions!$B$28)^MAX(0,L$5-2026)</f>
        <v>15309.4973913043</v>
      </c>
      <c r="M55" s="23" t="n">
        <f aca="false">M35+M37+SUMPRODUCT((Assumptions!$C$45:$C$52&lt;=EDATE(M$4,-Assumptions!$G$16))*Assumptions!$F$45:$F$52*Assumptions!$B$45:$B$52)*Assumptions!$B$27*(1+Assumptions!$B$28)^MAX(0,M$5-2026)</f>
        <v>15340.8017391304</v>
      </c>
      <c r="N55" s="23" t="n">
        <f aca="false">N35+N37+SUMPRODUCT((Assumptions!$C$45:$C$52&lt;=EDATE(N$4,-Assumptions!$G$16))*Assumptions!$F$45:$F$52*Assumptions!$B$45:$B$52)*Assumptions!$B$27*(1+Assumptions!$B$28)^MAX(0,N$5-2026)</f>
        <v>16414.0191304348</v>
      </c>
      <c r="O55" s="23" t="n">
        <f aca="false">O35+O37+SUMPRODUCT((Assumptions!$C$45:$C$52&lt;=EDATE(O$4,-Assumptions!$G$16))*Assumptions!$F$45:$F$52*Assumptions!$B$45:$B$52)*Assumptions!$B$27*(1+Assumptions!$B$28)^MAX(0,O$5-2026)</f>
        <v>16460.9756521739</v>
      </c>
      <c r="P55" s="23" t="n">
        <f aca="false">P35+P37+SUMPRODUCT((Assumptions!$C$45:$C$52&lt;=EDATE(P$4,-Assumptions!$G$16))*Assumptions!$F$45:$F$52*Assumptions!$B$45:$B$52)*Assumptions!$B$27*(1+Assumptions!$B$28)^MAX(0,P$5-2026)</f>
        <v>16507.932173913</v>
      </c>
      <c r="Q55" s="23" t="n">
        <f aca="false">Q35+Q37+SUMPRODUCT((Assumptions!$C$45:$C$52&lt;=EDATE(Q$4,-Assumptions!$G$16))*Assumptions!$F$45:$F$52*Assumptions!$B$45:$B$52)*Assumptions!$B$27*(1+Assumptions!$B$28)^MAX(0,Q$5-2026)</f>
        <v>16554.8886956522</v>
      </c>
      <c r="R55" s="23" t="n">
        <f aca="false">R35+R37+SUMPRODUCT((Assumptions!$C$45:$C$52&lt;=EDATE(R$4,-Assumptions!$G$16))*Assumptions!$F$45:$F$52*Assumptions!$B$45:$B$52)*Assumptions!$B$27*(1+Assumptions!$B$28)^MAX(0,R$5-2026)</f>
        <v>17706.3669565217</v>
      </c>
      <c r="S55" s="23" t="n">
        <f aca="false">S35+S37+SUMPRODUCT((Assumptions!$C$45:$C$52&lt;=EDATE(S$4,-Assumptions!$G$16))*Assumptions!$F$45:$F$52*Assumptions!$B$45:$B$52)*Assumptions!$B$27*(1+Assumptions!$B$28)^MAX(0,S$5-2026)</f>
        <v>17768.9756521739</v>
      </c>
      <c r="T55" s="23" t="n">
        <f aca="false">T35+T37+SUMPRODUCT((Assumptions!$C$45:$C$52&lt;=EDATE(T$4,-Assumptions!$G$16))*Assumptions!$F$45:$F$52*Assumptions!$B$45:$B$52)*Assumptions!$B$27*(1+Assumptions!$B$28)^MAX(0,T$5-2026)</f>
        <v>29692.9872347826</v>
      </c>
      <c r="U55" s="23" t="n">
        <f aca="false">U35+U37+SUMPRODUCT((Assumptions!$C$45:$C$52&lt;=EDATE(U$4,-Assumptions!$G$16))*Assumptions!$F$45:$F$52*Assumptions!$B$45:$B$52)*Assumptions!$B$27*(1+Assumptions!$B$28)^MAX(0,U$5-2026)</f>
        <v>29771.2481043478</v>
      </c>
      <c r="V55" s="23" t="n">
        <f aca="false">V35+V37+SUMPRODUCT((Assumptions!$C$45:$C$52&lt;=EDATE(V$4,-Assumptions!$G$16))*Assumptions!$F$45:$F$52*Assumptions!$B$45:$B$52)*Assumptions!$B$27*(1+Assumptions!$B$28)^MAX(0,V$5-2026)</f>
        <v>29849.508973913</v>
      </c>
      <c r="W55" s="23" t="n">
        <f aca="false">W35+W37+SUMPRODUCT((Assumptions!$C$45:$C$52&lt;=EDATE(W$4,-Assumptions!$G$16))*Assumptions!$F$45:$F$52*Assumptions!$B$45:$B$52)*Assumptions!$B$27*(1+Assumptions!$B$28)^MAX(0,W$5-2026)</f>
        <v>29927.7698434783</v>
      </c>
      <c r="X55" s="23" t="n">
        <f aca="false">X35+X37+SUMPRODUCT((Assumptions!$C$45:$C$52&lt;=EDATE(X$4,-Assumptions!$G$16))*Assumptions!$F$45:$F$52*Assumptions!$B$45:$B$52)*Assumptions!$B$27*(1+Assumptions!$B$28)^MAX(0,X$5-2026)</f>
        <v>31204.4654956522</v>
      </c>
      <c r="Y55" s="23" t="n">
        <f aca="false">Y35+Y37+SUMPRODUCT((Assumptions!$C$45:$C$52&lt;=EDATE(Y$4,-Assumptions!$G$16))*Assumptions!$F$45:$F$52*Assumptions!$B$45:$B$52)*Assumptions!$B$27*(1+Assumptions!$B$28)^MAX(0,Y$5-2026)</f>
        <v>31298.3785391304</v>
      </c>
      <c r="Z55" s="23" t="n">
        <f aca="false">Z35+Z37+SUMPRODUCT((Assumptions!$C$45:$C$52&lt;=EDATE(Z$4,-Assumptions!$G$16))*Assumptions!$F$45:$F$52*Assumptions!$B$45:$B$52)*Assumptions!$B$27*(1+Assumptions!$B$28)^MAX(0,Z$5-2026)</f>
        <v>31392.2915826087</v>
      </c>
      <c r="AA55" s="23" t="n">
        <f aca="false">AA35+AA37+SUMPRODUCT((Assumptions!$C$45:$C$52&lt;=EDATE(AA$4,-Assumptions!$G$16))*Assumptions!$F$45:$F$52*Assumptions!$B$45:$B$52)*Assumptions!$B$27*(1+Assumptions!$B$28)^MAX(0,AA$5-2026)</f>
        <v>31486.204626087</v>
      </c>
      <c r="AB55" s="23" t="n">
        <f aca="false">AB35+AB37+SUMPRODUCT((Assumptions!$C$45:$C$52&lt;=EDATE(AB$4,-Assumptions!$G$16))*Assumptions!$F$45:$F$52*Assumptions!$B$45:$B$52)*Assumptions!$B$27*(1+Assumptions!$B$28)^MAX(0,AB$5-2026)</f>
        <v>31580.1176695652</v>
      </c>
      <c r="AC55" s="23" t="n">
        <f aca="false">AC35+AC37+SUMPRODUCT((Assumptions!$C$45:$C$52&lt;=EDATE(AC$4,-Assumptions!$G$16))*Assumptions!$F$45:$F$52*Assumptions!$B$45:$B$52)*Assumptions!$B$27*(1+Assumptions!$B$28)^MAX(0,AC$5-2026)</f>
        <v>32950.7263652174</v>
      </c>
      <c r="AD55" s="23" t="n">
        <f aca="false">AD35+AD37+SUMPRODUCT((Assumptions!$C$45:$C$52&lt;=EDATE(AD$4,-Assumptions!$G$16))*Assumptions!$F$45:$F$52*Assumptions!$B$45:$B$52)*Assumptions!$B$27*(1+Assumptions!$B$28)^MAX(0,AD$5-2026)</f>
        <v>33060.2915826087</v>
      </c>
      <c r="AE55" s="23" t="n">
        <f aca="false">AE35+AE37+SUMPRODUCT((Assumptions!$C$45:$C$52&lt;=EDATE(AE$4,-Assumptions!$G$16))*Assumptions!$F$45:$F$52*Assumptions!$B$45:$B$52)*Assumptions!$B$27*(1+Assumptions!$B$28)^MAX(0,AE$5-2026)</f>
        <v>33169.8568</v>
      </c>
      <c r="AF55" s="23" t="n">
        <f aca="false">AF35+AF37+SUMPRODUCT((Assumptions!$C$45:$C$52&lt;=EDATE(AF$4,-Assumptions!$G$16))*Assumptions!$F$45:$F$52*Assumptions!$B$45:$B$52)*Assumptions!$B$27*(1+Assumptions!$B$28)^MAX(0,AF$5-2026)</f>
        <v>36620.272504</v>
      </c>
      <c r="AG55" s="23" t="n">
        <f aca="false">AG35+AG37+SUMPRODUCT((Assumptions!$C$45:$C$52&lt;=EDATE(AG$4,-Assumptions!$G$16))*Assumptions!$F$45:$F$52*Assumptions!$B$45:$B$52)*Assumptions!$B$27*(1+Assumptions!$B$28)^MAX(0,AG$5-2026)</f>
        <v>36620.272504</v>
      </c>
      <c r="AH55" s="23" t="n">
        <f aca="false">AH35+AH37+SUMPRODUCT((Assumptions!$C$45:$C$52&lt;=EDATE(AH$4,-Assumptions!$G$16))*Assumptions!$F$45:$F$52*Assumptions!$B$45:$B$52)*Assumptions!$B$27*(1+Assumptions!$B$28)^MAX(0,AH$5-2026)</f>
        <v>36620.272504</v>
      </c>
      <c r="AI55" s="23" t="n">
        <f aca="false">AI35+AI37+SUMPRODUCT((Assumptions!$C$45:$C$52&lt;=EDATE(AI$4,-Assumptions!$G$16))*Assumptions!$F$45:$F$52*Assumptions!$B$45:$B$52)*Assumptions!$B$27*(1+Assumptions!$B$28)^MAX(0,AI$5-2026)</f>
        <v>36620.272504</v>
      </c>
      <c r="AJ55" s="23" t="n">
        <f aca="false">AJ35+AJ37+SUMPRODUCT((Assumptions!$C$45:$C$52&lt;=EDATE(AJ$4,-Assumptions!$G$16))*Assumptions!$F$45:$F$52*Assumptions!$B$45:$B$52)*Assumptions!$B$27*(1+Assumptions!$B$28)^MAX(0,AJ$5-2026)</f>
        <v>36620.272504</v>
      </c>
      <c r="AK55" s="23" t="n">
        <f aca="false">AK35+AK37+SUMPRODUCT((Assumptions!$C$45:$C$52&lt;=EDATE(AK$4,-Assumptions!$G$16))*Assumptions!$F$45:$F$52*Assumptions!$B$45:$B$52)*Assumptions!$B$27*(1+Assumptions!$B$28)^MAX(0,AK$5-2026)</f>
        <v>36620.272504</v>
      </c>
      <c r="AL55" s="23" t="n">
        <f aca="false">AL35+AL37+SUMPRODUCT((Assumptions!$C$45:$C$52&lt;=EDATE(AL$4,-Assumptions!$G$16))*Assumptions!$F$45:$F$52*Assumptions!$B$45:$B$52)*Assumptions!$B$27*(1+Assumptions!$B$28)^MAX(0,AL$5-2026)</f>
        <v>36620.272504</v>
      </c>
      <c r="AM55" s="23" t="n">
        <f aca="false">AM35+AM37+SUMPRODUCT((Assumptions!$C$45:$C$52&lt;=EDATE(AM$4,-Assumptions!$G$16))*Assumptions!$F$45:$F$52*Assumptions!$B$45:$B$52)*Assumptions!$B$27*(1+Assumptions!$B$28)^MAX(0,AM$5-2026)</f>
        <v>36620.272504</v>
      </c>
      <c r="AN55" s="23" t="n">
        <f aca="false">AN35+AN37+SUMPRODUCT((Assumptions!$C$45:$C$52&lt;=EDATE(AN$4,-Assumptions!$G$16))*Assumptions!$F$45:$F$52*Assumptions!$B$45:$B$52)*Assumptions!$B$27*(1+Assumptions!$B$28)^MAX(0,AN$5-2026)</f>
        <v>36620.272504</v>
      </c>
      <c r="AO55" s="23" t="n">
        <f aca="false">AO35+AO37+SUMPRODUCT((Assumptions!$C$45:$C$52&lt;=EDATE(AO$4,-Assumptions!$G$16))*Assumptions!$F$45:$F$52*Assumptions!$B$45:$B$52)*Assumptions!$B$27*(1+Assumptions!$B$28)^MAX(0,AO$5-2026)</f>
        <v>36620.272504</v>
      </c>
      <c r="AP55" s="23" t="n">
        <f aca="false">AP35+AP37+SUMPRODUCT((Assumptions!$C$45:$C$52&lt;=EDATE(AP$4,-Assumptions!$G$16))*Assumptions!$F$45:$F$52*Assumptions!$B$45:$B$52)*Assumptions!$B$27*(1+Assumptions!$B$28)^MAX(0,AP$5-2026)</f>
        <v>36620.272504</v>
      </c>
      <c r="AQ55" s="23" t="n">
        <f aca="false">AQ35+AQ37+SUMPRODUCT((Assumptions!$C$45:$C$52&lt;=EDATE(AQ$4,-Assumptions!$G$16))*Assumptions!$F$45:$F$52*Assumptions!$B$45:$B$52)*Assumptions!$B$27*(1+Assumptions!$B$28)^MAX(0,AQ$5-2026)</f>
        <v>36620.272504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5" min="2" style="0" width="15"/>
  </cols>
  <sheetData>
    <row r="1" customFormat="false" ht="17.35" hidden="false" customHeight="false" outlineLevel="0" collapsed="false">
      <c r="A1" s="1" t="s">
        <v>127</v>
      </c>
    </row>
    <row r="2" customFormat="false" ht="15" hidden="false" customHeight="false" outlineLevel="0" collapsed="false">
      <c r="A2" s="2" t="str">
        <f aca="false">"Scenario: "&amp;Assumptions!C6&amp;"  ·  ENTWURF/DRAFT — planning status July 2026 · net of USt"</f>
        <v>Scenario: Base (self-funded)  ·  ENTWURF/DRAFT — planning status July 2026 · net of USt</v>
      </c>
    </row>
    <row r="4" customFormat="false" ht="15" hidden="false" customHeight="false" outlineLevel="0" collapsed="false">
      <c r="A4" s="8" t="s">
        <v>128</v>
      </c>
    </row>
    <row r="5" customFormat="false" ht="15" hidden="false" customHeight="false" outlineLevel="0" collapsed="false">
      <c r="A5" s="5" t="s">
        <v>129</v>
      </c>
      <c r="B5" s="31" t="n">
        <f aca="false">INDEX(Model!$B$22:$AQ$22,MATCH(DATE(2028,12,1),Model!$B$4:$AQ$4,0))</f>
        <v>95.635017134068</v>
      </c>
    </row>
    <row r="6" customFormat="false" ht="15" hidden="false" customHeight="false" outlineLevel="0" collapsed="false">
      <c r="A6" s="5" t="s">
        <v>130</v>
      </c>
      <c r="B6" s="25" t="n">
        <f aca="false">INDEX(Model!$B$28:$AQ$28,MATCH(DATE(2028,12,1),Model!$B$4:$AQ$4,0))</f>
        <v>1175915.005113</v>
      </c>
    </row>
    <row r="7" customFormat="false" ht="15" hidden="false" customHeight="false" outlineLevel="0" collapsed="false">
      <c r="A7" s="5" t="s">
        <v>131</v>
      </c>
      <c r="B7" s="25" t="n">
        <f aca="false">SUMIFS(Model!$B$31:$AQ$31,Model!$B$5:$AQ$5,2028)</f>
        <v>1041570.31675252</v>
      </c>
    </row>
    <row r="8" customFormat="false" ht="15" hidden="false" customHeight="false" outlineLevel="0" collapsed="false">
      <c r="A8" s="5" t="s">
        <v>132</v>
      </c>
      <c r="B8" s="25" t="n">
        <f aca="false">SUMIFS(Model!$B$44:$AQ$44,Model!$B$5:$AQ$5,2028)</f>
        <v>127779.092474401</v>
      </c>
    </row>
    <row r="9" customFormat="false" ht="15" hidden="false" customHeight="false" outlineLevel="0" collapsed="false">
      <c r="A9" s="5" t="s">
        <v>133</v>
      </c>
      <c r="B9" s="25" t="n">
        <f aca="false">-MIN(Model!B48:AQ48)</f>
        <v>277333.656756044</v>
      </c>
    </row>
    <row r="10" customFormat="false" ht="15" hidden="false" customHeight="false" outlineLevel="0" collapsed="false">
      <c r="A10" s="5" t="s">
        <v>134</v>
      </c>
      <c r="B10" s="25" t="n">
        <f aca="false">Assumptions!B55</f>
        <v>500000</v>
      </c>
    </row>
    <row r="11" customFormat="false" ht="15" hidden="false" customHeight="false" outlineLevel="0" collapsed="false">
      <c r="A11" s="5" t="s">
        <v>135</v>
      </c>
      <c r="B11" s="25" t="n">
        <f aca="false">MIN(Model!B52:AQ52)</f>
        <v>14521.3</v>
      </c>
    </row>
    <row r="12" customFormat="false" ht="15" hidden="false" customHeight="false" outlineLevel="0" collapsed="false">
      <c r="A12" s="5" t="s">
        <v>136</v>
      </c>
      <c r="B12" s="32" t="n">
        <f aca="false">INDEX(Model!$B$54:$AQ$54,MATCH(DATE(2028,12,1),Model!$B$4:$AQ$4,0))</f>
        <v>7</v>
      </c>
    </row>
    <row r="13" customFormat="false" ht="15" hidden="false" customHeight="false" outlineLevel="0" collapsed="false">
      <c r="A13" s="5" t="s">
        <v>137</v>
      </c>
      <c r="B13" s="31" t="n">
        <f aca="false">UnitEconomics!B12</f>
        <v>7.83918446187315</v>
      </c>
    </row>
    <row r="14" customFormat="false" ht="15" hidden="false" customHeight="false" outlineLevel="0" collapsed="false">
      <c r="A14" s="5" t="s">
        <v>138</v>
      </c>
      <c r="B14" s="31" t="n">
        <f aca="false">UnitEconomics!B13</f>
        <v>6.12308591964559</v>
      </c>
    </row>
    <row r="17" customFormat="false" ht="15" hidden="false" customHeight="false" outlineLevel="0" collapsed="false">
      <c r="A17" s="8" t="s">
        <v>139</v>
      </c>
    </row>
    <row r="18" customFormat="false" ht="15" hidden="false" customHeight="false" outlineLevel="0" collapsed="false">
      <c r="A18" s="10" t="s">
        <v>81</v>
      </c>
      <c r="B18" s="21" t="n">
        <v>2026</v>
      </c>
      <c r="C18" s="21" t="n">
        <v>2027</v>
      </c>
      <c r="D18" s="21" t="n">
        <v>2028</v>
      </c>
      <c r="E18" s="21" t="n">
        <v>2029</v>
      </c>
    </row>
    <row r="19" customFormat="false" ht="15" hidden="false" customHeight="false" outlineLevel="0" collapsed="false">
      <c r="A19" s="5" t="s">
        <v>140</v>
      </c>
      <c r="B19" s="12" t="n">
        <f aca="false">INDEX(Model!$B$22:$AQ$22,MATCH(DATE(B$18,12,1),Model!$B$4:$AQ$4,0))</f>
        <v>0</v>
      </c>
      <c r="C19" s="12" t="n">
        <f aca="false">INDEX(Model!$B$22:$AQ$22,MATCH(DATE(C$18,12,1),Model!$B$4:$AQ$4,0))</f>
        <v>33.6920454524715</v>
      </c>
      <c r="D19" s="12" t="n">
        <f aca="false">INDEX(Model!$B$22:$AQ$22,MATCH(DATE(D$18,12,1),Model!$B$4:$AQ$4,0))</f>
        <v>95.635017134068</v>
      </c>
      <c r="E19" s="12" t="n">
        <f aca="false">INDEX(Model!$B$22:$AQ$22,MATCH(DATE(E$18,12,1),Model!$B$4:$AQ$4,0))</f>
        <v>160.695031291319</v>
      </c>
    </row>
    <row r="20" customFormat="false" ht="15" hidden="false" customHeight="false" outlineLevel="0" collapsed="false">
      <c r="A20" s="5" t="s">
        <v>141</v>
      </c>
      <c r="B20" s="23" t="n">
        <f aca="false">INDEX(Model!$B$27:$AQ$27,MATCH(DATE(B$18,12,1),Model!$B$4:$AQ$4,0))</f>
        <v>0</v>
      </c>
      <c r="C20" s="23" t="n">
        <f aca="false">INDEX(Model!$B$27:$AQ$27,MATCH(DATE(C$18,12,1),Model!$B$4:$AQ$4,0))</f>
        <v>30302.8036953112</v>
      </c>
      <c r="D20" s="23" t="n">
        <f aca="false">INDEX(Model!$B$27:$AQ$27,MATCH(DATE(D$18,12,1),Model!$B$4:$AQ$4,0))</f>
        <v>97992.9170927502</v>
      </c>
      <c r="E20" s="23" t="n">
        <f aca="false">INDEX(Model!$B$27:$AQ$27,MATCH(DATE(E$18,12,1),Model!$B$4:$AQ$4,0))</f>
        <v>175828.711116722</v>
      </c>
    </row>
    <row r="21" customFormat="false" ht="15" hidden="false" customHeight="false" outlineLevel="0" collapsed="false">
      <c r="A21" s="5" t="s">
        <v>142</v>
      </c>
      <c r="B21" s="23" t="n">
        <f aca="false">INDEX(Model!$B$28:$AQ$28,MATCH(DATE(B$18,12,1),Model!$B$4:$AQ$4,0))</f>
        <v>0</v>
      </c>
      <c r="C21" s="23" t="n">
        <f aca="false">INDEX(Model!$B$28:$AQ$28,MATCH(DATE(C$18,12,1),Model!$B$4:$AQ$4,0))</f>
        <v>363633.644343735</v>
      </c>
      <c r="D21" s="23" t="n">
        <f aca="false">INDEX(Model!$B$28:$AQ$28,MATCH(DATE(D$18,12,1),Model!$B$4:$AQ$4,0))</f>
        <v>1175915.005113</v>
      </c>
      <c r="E21" s="23" t="n">
        <f aca="false">INDEX(Model!$B$28:$AQ$28,MATCH(DATE(E$18,12,1),Model!$B$4:$AQ$4,0))</f>
        <v>2109944.53340067</v>
      </c>
    </row>
    <row r="22" customFormat="false" ht="15" hidden="false" customHeight="false" outlineLevel="0" collapsed="false">
      <c r="A22" s="3" t="s">
        <v>106</v>
      </c>
      <c r="B22" s="23" t="n">
        <f aca="false">SUMIFS(Model!$B$31:$AQ$31,Model!$B$5:$AQ$5,B$18)</f>
        <v>8250</v>
      </c>
      <c r="C22" s="23" t="n">
        <f aca="false">SUMIFS(Model!$B$31:$AQ$31,Model!$B$5:$AQ$5,C$18)</f>
        <v>297582.556126003</v>
      </c>
      <c r="D22" s="23" t="n">
        <f aca="false">SUMIFS(Model!$B$31:$AQ$31,Model!$B$5:$AQ$5,D$18)</f>
        <v>1041570.31675252</v>
      </c>
      <c r="E22" s="23" t="n">
        <f aca="false">SUMIFS(Model!$B$31:$AQ$31,Model!$B$5:$AQ$5,E$18)</f>
        <v>2027198.86516107</v>
      </c>
    </row>
    <row r="23" customFormat="false" ht="15" hidden="false" customHeight="false" outlineLevel="0" collapsed="false">
      <c r="A23" s="5" t="s">
        <v>143</v>
      </c>
      <c r="B23" s="23" t="n">
        <f aca="false">SUMIFS(Model!$B$27:$AQ$27,Model!$B$5:$AQ$5,B$18)</f>
        <v>0</v>
      </c>
      <c r="C23" s="23" t="n">
        <f aca="false">SUMIFS(Model!$B$27:$AQ$27,Model!$B$5:$AQ$5,C$18)</f>
        <v>187462.990908612</v>
      </c>
      <c r="D23" s="23" t="n">
        <f aca="false">SUMIFS(Model!$B$27:$AQ$27,Model!$B$5:$AQ$5,D$18)</f>
        <v>769342.055882953</v>
      </c>
      <c r="E23" s="23" t="n">
        <f aca="false">SUMIFS(Model!$B$27:$AQ$27,Model!$B$5:$AQ$5,E$18)</f>
        <v>1691198.86516107</v>
      </c>
    </row>
    <row r="24" customFormat="false" ht="15" hidden="false" customHeight="false" outlineLevel="0" collapsed="false">
      <c r="A24" s="5" t="s">
        <v>144</v>
      </c>
      <c r="B24" s="23" t="n">
        <f aca="false">SUMIFS(Model!$B$30:$AQ$30,Model!$B$5:$AQ$5,B$18)</f>
        <v>0</v>
      </c>
      <c r="C24" s="23" t="n">
        <f aca="false">SUMIFS(Model!$B$30:$AQ$30,Model!$B$5:$AQ$5,C$18)</f>
        <v>110119.565217391</v>
      </c>
      <c r="D24" s="23" t="n">
        <f aca="false">SUMIFS(Model!$B$30:$AQ$30,Model!$B$5:$AQ$5,D$18)</f>
        <v>272228.260869565</v>
      </c>
      <c r="E24" s="23" t="n">
        <f aca="false">SUMIFS(Model!$B$30:$AQ$30,Model!$B$5:$AQ$5,E$18)</f>
        <v>336000</v>
      </c>
    </row>
    <row r="25" customFormat="false" ht="15" hidden="false" customHeight="false" outlineLevel="0" collapsed="false">
      <c r="A25" s="5" t="s">
        <v>145</v>
      </c>
      <c r="B25" s="23" t="n">
        <f aca="false">SUMIFS(Model!$B$29:$AQ$29,Model!$B$5:$AQ$5,B$18)</f>
        <v>8250</v>
      </c>
      <c r="C25" s="23" t="n">
        <f aca="false">SUMIFS(Model!$B$29:$AQ$29,Model!$B$5:$AQ$5,C$18)</f>
        <v>0</v>
      </c>
      <c r="D25" s="23" t="n">
        <f aca="false">SUMIFS(Model!$B$29:$AQ$29,Model!$B$5:$AQ$5,D$18)</f>
        <v>0</v>
      </c>
      <c r="E25" s="23" t="n">
        <f aca="false">SUMIFS(Model!$B$29:$AQ$29,Model!$B$5:$AQ$5,E$18)</f>
        <v>0</v>
      </c>
    </row>
    <row r="26" customFormat="false" ht="15" hidden="false" customHeight="false" outlineLevel="0" collapsed="false">
      <c r="A26" s="5" t="s">
        <v>146</v>
      </c>
      <c r="B26" s="23" t="n">
        <f aca="false">SUMIFS(Model!$B$34:$AQ$34,Model!$B$5:$AQ$5,B$18)</f>
        <v>50752</v>
      </c>
      <c r="C26" s="23" t="n">
        <f aca="false">SUMIFS(Model!$B$34:$AQ$34,Model!$B$5:$AQ$5,C$18)</f>
        <v>279970.48</v>
      </c>
      <c r="D26" s="23" t="n">
        <f aca="false">SUMIFS(Model!$B$34:$AQ$34,Model!$B$5:$AQ$5,D$18)</f>
        <v>569232.2604</v>
      </c>
      <c r="E26" s="23" t="n">
        <f aca="false">SUMIFS(Model!$B$34:$AQ$34,Model!$B$5:$AQ$5,E$18)</f>
        <v>679894.7394</v>
      </c>
    </row>
    <row r="27" customFormat="false" ht="15" hidden="false" customHeight="false" outlineLevel="0" collapsed="false">
      <c r="A27" s="5" t="s">
        <v>147</v>
      </c>
      <c r="B27" s="23" t="n">
        <f aca="false">SUMIFS(Model!$B$55:$AQ$55,Model!$B$5:$AQ$5,B$18)</f>
        <v>26152</v>
      </c>
      <c r="C27" s="23" t="n">
        <f aca="false">SUMIFS(Model!$B$55:$AQ$55,Model!$B$5:$AQ$5,C$18)</f>
        <v>196764.751304348</v>
      </c>
      <c r="D27" s="23" t="n">
        <f aca="false">SUMIFS(Model!$B$55:$AQ$55,Model!$B$5:$AQ$5,D$18)</f>
        <v>375383.846817391</v>
      </c>
      <c r="E27" s="23" t="n">
        <f aca="false">SUMIFS(Model!$B$55:$AQ$55,Model!$B$5:$AQ$5,E$18)</f>
        <v>439443.270048</v>
      </c>
    </row>
    <row r="28" customFormat="false" ht="15" hidden="false" customHeight="false" outlineLevel="0" collapsed="false">
      <c r="A28" s="5" t="s">
        <v>116</v>
      </c>
      <c r="B28" s="23" t="n">
        <f aca="false">SUMIFS(Model!$B$42:$AQ$42,Model!$B$5:$AQ$5,B$18)</f>
        <v>83728.7</v>
      </c>
      <c r="C28" s="23" t="n">
        <f aca="false">SUMIFS(Model!$B$42:$AQ$42,Model!$B$5:$AQ$5,C$18)</f>
        <v>477232.209671717</v>
      </c>
      <c r="D28" s="23" t="n">
        <f aca="false">SUMIFS(Model!$B$42:$AQ$42,Model!$B$5:$AQ$5,D$18)</f>
        <v>913791.224278117</v>
      </c>
      <c r="E28" s="23" t="n">
        <f aca="false">SUMIFS(Model!$B$42:$AQ$42,Model!$B$5:$AQ$5,E$18)</f>
        <v>1132201.20561036</v>
      </c>
    </row>
    <row r="29" customFormat="false" ht="15" hidden="false" customHeight="false" outlineLevel="0" collapsed="false">
      <c r="A29" s="3" t="s">
        <v>117</v>
      </c>
      <c r="B29" s="23" t="n">
        <f aca="false">SUMIFS(Model!$B$44:$AQ$44,Model!$B$5:$AQ$5,B$18)</f>
        <v>-75478.7</v>
      </c>
      <c r="C29" s="23" t="n">
        <f aca="false">SUMIFS(Model!$B$44:$AQ$44,Model!$B$5:$AQ$5,C$18)</f>
        <v>-179649.653545714</v>
      </c>
      <c r="D29" s="23" t="n">
        <f aca="false">SUMIFS(Model!$B$44:$AQ$44,Model!$B$5:$AQ$5,D$18)</f>
        <v>127779.092474401</v>
      </c>
      <c r="E29" s="23" t="n">
        <f aca="false">SUMIFS(Model!$B$44:$AQ$44,Model!$B$5:$AQ$5,E$18)</f>
        <v>894997.659550704</v>
      </c>
    </row>
    <row r="30" customFormat="false" ht="15" hidden="false" customHeight="false" outlineLevel="0" collapsed="false">
      <c r="A30" s="5" t="s">
        <v>148</v>
      </c>
      <c r="B30" s="23" t="n">
        <f aca="false">SUMIFS(Model!$B$46:$AQ$46,Model!$B$5:$AQ$5,B$18)</f>
        <v>0</v>
      </c>
      <c r="C30" s="23" t="n">
        <f aca="false">SUMIFS(Model!$B$46:$AQ$46,Model!$B$5:$AQ$5,C$18)</f>
        <v>0</v>
      </c>
      <c r="D30" s="23" t="n">
        <f aca="false">SUMIFS(Model!$B$46:$AQ$46,Model!$B$5:$AQ$5,D$18)</f>
        <v>0</v>
      </c>
      <c r="E30" s="23" t="n">
        <f aca="false">SUMIFS(Model!$B$46:$AQ$46,Model!$B$5:$AQ$5,E$18)</f>
        <v>230294.519543817</v>
      </c>
    </row>
    <row r="31" customFormat="false" ht="15" hidden="false" customHeight="false" outlineLevel="0" collapsed="false">
      <c r="A31" s="5" t="s">
        <v>149</v>
      </c>
      <c r="B31" s="23" t="n">
        <f aca="false">INDEX(Model!$B$48:$AQ$48,MATCH(DATE(B$18,12,1),Model!$B$4:$AQ$4,0))</f>
        <v>-75478.7</v>
      </c>
      <c r="C31" s="23" t="n">
        <f aca="false">INDEX(Model!$B$48:$AQ$48,MATCH(DATE(C$18,12,1),Model!$B$4:$AQ$4,0))</f>
        <v>-255128.353545714</v>
      </c>
      <c r="D31" s="23" t="n">
        <f aca="false">INDEX(Model!$B$48:$AQ$48,MATCH(DATE(D$18,12,1),Model!$B$4:$AQ$4,0))</f>
        <v>-127349.261071313</v>
      </c>
      <c r="E31" s="23" t="n">
        <f aca="false">INDEX(Model!$B$48:$AQ$48,MATCH(DATE(E$18,12,1),Model!$B$4:$AQ$4,0))</f>
        <v>537353.878935573</v>
      </c>
    </row>
    <row r="32" customFormat="false" ht="15" hidden="false" customHeight="false" outlineLevel="0" collapsed="false">
      <c r="A32" s="5" t="s">
        <v>150</v>
      </c>
      <c r="B32" s="23" t="n">
        <f aca="false">INDEX(Model!$B$52:$AQ$52,MATCH(DATE(B$18,12,1),Model!$B$4:$AQ$4,0))</f>
        <v>14521.3</v>
      </c>
      <c r="C32" s="23" t="n">
        <f aca="false">INDEX(Model!$B$52:$AQ$52,MATCH(DATE(C$18,12,1),Model!$B$4:$AQ$4,0))</f>
        <v>334871.646454286</v>
      </c>
      <c r="D32" s="23" t="n">
        <f aca="false">INDEX(Model!$B$52:$AQ$52,MATCH(DATE(D$18,12,1),Model!$B$4:$AQ$4,0))</f>
        <v>462650.738928687</v>
      </c>
      <c r="E32" s="23" t="n">
        <f aca="false">INDEX(Model!$B$52:$AQ$52,MATCH(DATE(E$18,12,1),Model!$B$4:$AQ$4,0))</f>
        <v>1127353.87893557</v>
      </c>
    </row>
    <row r="33" customFormat="false" ht="15" hidden="false" customHeight="false" outlineLevel="0" collapsed="false">
      <c r="A33" s="5" t="s">
        <v>151</v>
      </c>
      <c r="B33" s="18" t="n">
        <f aca="false">INDEX(Model!$B$54:$AQ$54,MATCH(DATE(B$18,12,1),Model!$B$4:$AQ$4,0))</f>
        <v>2</v>
      </c>
      <c r="C33" s="18" t="n">
        <f aca="false">INDEX(Model!$B$54:$AQ$54,MATCH(DATE(C$18,12,1),Model!$B$4:$AQ$4,0))</f>
        <v>4</v>
      </c>
      <c r="D33" s="18" t="n">
        <f aca="false">INDEX(Model!$B$54:$AQ$54,MATCH(DATE(D$18,12,1),Model!$B$4:$AQ$4,0))</f>
        <v>7</v>
      </c>
      <c r="E33" s="18" t="n">
        <f aca="false">INDEX(Model!$B$54:$AQ$54,MATCH(DATE(E$18,12,1),Model!$B$4:$AQ$4,0))</f>
        <v>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6"/>
    <col collapsed="false" customWidth="true" hidden="false" outlineLevel="0" max="4" min="2" style="0" width="16"/>
  </cols>
  <sheetData>
    <row r="1" customFormat="false" ht="17.35" hidden="false" customHeight="false" outlineLevel="0" collapsed="false">
      <c r="A1" s="1" t="s">
        <v>152</v>
      </c>
    </row>
    <row r="2" customFormat="false" ht="15" hidden="false" customHeight="false" outlineLevel="0" collapsed="false">
      <c r="A2" s="2" t="s">
        <v>153</v>
      </c>
    </row>
    <row r="4" customFormat="false" ht="15" hidden="false" customHeight="false" outlineLevel="0" collapsed="false">
      <c r="A4" s="8" t="s">
        <v>154</v>
      </c>
    </row>
    <row r="5" customFormat="false" ht="15" hidden="false" customHeight="false" outlineLevel="0" collapsed="false">
      <c r="A5" s="5" t="s">
        <v>155</v>
      </c>
      <c r="B5" s="23" t="n">
        <f aca="false">INDEX(Model!$B$27:$AQ$27,MATCH(DATE(2028,12,1),Model!$B$4:$AQ$4,0))/INDEX(Model!$B$22:$AQ$22,MATCH(DATE(2028,12,1),Model!$B$4:$AQ$4,0))</f>
        <v>1024.65519460698</v>
      </c>
    </row>
    <row r="6" customFormat="false" ht="15" hidden="false" customHeight="false" outlineLevel="0" collapsed="false">
      <c r="A6" s="5" t="s">
        <v>156</v>
      </c>
      <c r="B6" s="14" t="n">
        <f aca="false">(INDEX(Model!$B$27:$AQ$27,MATCH(DATE(2028,12,1),Model!$B$4:$AQ$4,0))-INDEX(Model!$B$36:$AQ$36,MATCH(DATE(2028,12,1),Model!$B$4:$AQ$4,0))-INDEX(Model!$B$27:$AQ$27,MATCH(DATE(2028,12,1),Model!$B$4:$AQ$4,0))*Assumptions!$B$34-SUMPRODUCT((Assumptions!$C$45:$C$52&lt;=EDATE(DATE(2028,12,1),-Assumptions!$G$16))*Assumptions!$E$45:$E$52*Assumptions!$B$45:$B$52)*Assumptions!$B$27*(1+Assumptions!$B$28)^2)/INDEX(Model!$B$27:$AQ$27,MATCH(DATE(2028,12,1),Model!$B$4:$AQ$4,0))</f>
        <v>0.842692506715832</v>
      </c>
    </row>
    <row r="7" customFormat="false" ht="15" hidden="false" customHeight="false" outlineLevel="0" collapsed="false">
      <c r="A7" s="5" t="s">
        <v>157</v>
      </c>
      <c r="B7" s="23" t="n">
        <f aca="false">SUMIFS(Model!$B$55:$AQ$55,Model!$B$5:$AQ$5,2028)/SUMIFS(Model!$B$11:$AQ$11,Model!$B$5:$AQ$5,2028)</f>
        <v>5287.09643404777</v>
      </c>
    </row>
    <row r="8" customFormat="false" ht="15" hidden="false" customHeight="false" outlineLevel="0" collapsed="false">
      <c r="A8" s="5" t="s">
        <v>158</v>
      </c>
      <c r="B8" s="16" t="n">
        <f aca="false">Assumptions!$G$11</f>
        <v>0.0125</v>
      </c>
    </row>
    <row r="9" customFormat="false" ht="15" hidden="false" customHeight="false" outlineLevel="0" collapsed="false">
      <c r="A9" s="5" t="s">
        <v>159</v>
      </c>
      <c r="B9" s="18" t="n">
        <f aca="false">1/Assumptions!$G$11</f>
        <v>80</v>
      </c>
    </row>
    <row r="10" customFormat="false" ht="15" hidden="false" customHeight="false" outlineLevel="0" collapsed="false">
      <c r="A10" s="5" t="s">
        <v>160</v>
      </c>
      <c r="B10" s="18" t="n">
        <f aca="false">MIN(1/Assumptions!$G$11,Assumptions!$B$70)</f>
        <v>48</v>
      </c>
    </row>
    <row r="11" customFormat="false" ht="15" hidden="false" customHeight="false" outlineLevel="0" collapsed="false">
      <c r="A11" s="5" t="s">
        <v>161</v>
      </c>
      <c r="B11" s="23" t="n">
        <f aca="false">B5*B6*B10</f>
        <v>41446.5242142122</v>
      </c>
    </row>
    <row r="12" customFormat="false" ht="15" hidden="false" customHeight="false" outlineLevel="0" collapsed="false">
      <c r="A12" s="5" t="s">
        <v>162</v>
      </c>
      <c r="B12" s="12" t="n">
        <f aca="false">B11/B7</f>
        <v>7.83918446187315</v>
      </c>
    </row>
    <row r="13" customFormat="false" ht="15" hidden="false" customHeight="false" outlineLevel="0" collapsed="false">
      <c r="A13" s="5" t="s">
        <v>138</v>
      </c>
      <c r="B13" s="12" t="n">
        <f aca="false">B7/(B5*B6)</f>
        <v>6.12308591964559</v>
      </c>
    </row>
    <row r="15" customFormat="false" ht="15" hidden="false" customHeight="false" outlineLevel="0" collapsed="false">
      <c r="A15" s="19" t="s">
        <v>163</v>
      </c>
    </row>
    <row r="17" customFormat="false" ht="15" hidden="false" customHeight="false" outlineLevel="0" collapsed="false">
      <c r="A17" s="8" t="s">
        <v>164</v>
      </c>
    </row>
    <row r="18" customFormat="false" ht="15" hidden="false" customHeight="false" outlineLevel="0" collapsed="false">
      <c r="B18" s="10" t="s">
        <v>165</v>
      </c>
      <c r="C18" s="10" t="s">
        <v>166</v>
      </c>
      <c r="D18" s="10" t="s">
        <v>167</v>
      </c>
    </row>
    <row r="19" customFormat="false" ht="15" hidden="false" customHeight="false" outlineLevel="0" collapsed="false">
      <c r="A19" s="5" t="s">
        <v>168</v>
      </c>
      <c r="B19" s="17" t="n">
        <v>1</v>
      </c>
      <c r="C19" s="17" t="n">
        <v>10</v>
      </c>
      <c r="D19" s="33" t="n">
        <f aca="false">C19/B19</f>
        <v>10</v>
      </c>
    </row>
    <row r="20" customFormat="false" ht="15" hidden="false" customHeight="false" outlineLevel="0" collapsed="false">
      <c r="A20" s="5" t="s">
        <v>169</v>
      </c>
      <c r="B20" s="17" t="n">
        <v>5</v>
      </c>
      <c r="C20" s="17" t="n">
        <v>18</v>
      </c>
      <c r="D20" s="33" t="n">
        <f aca="false">C20/B20</f>
        <v>3.6</v>
      </c>
    </row>
    <row r="21" customFormat="false" ht="15" hidden="false" customHeight="false" outlineLevel="0" collapsed="false">
      <c r="A21" s="5" t="s">
        <v>170</v>
      </c>
      <c r="B21" s="25" t="n">
        <f aca="false">Assumptions!B19</f>
        <v>490</v>
      </c>
      <c r="C21" s="25" t="n">
        <f aca="false">Assumptions!B20</f>
        <v>1490</v>
      </c>
      <c r="D21" s="33" t="n">
        <f aca="false">C21/B21</f>
        <v>3.04081632653061</v>
      </c>
    </row>
    <row r="23" customFormat="false" ht="15" hidden="false" customHeight="false" outlineLevel="0" collapsed="false">
      <c r="A23" s="19" t="s">
        <v>171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6" min="2" style="0" width="15"/>
  </cols>
  <sheetData>
    <row r="1" customFormat="false" ht="17.35" hidden="false" customHeight="false" outlineLevel="0" collapsed="false">
      <c r="A1" s="1" t="s">
        <v>172</v>
      </c>
    </row>
    <row r="2" customFormat="false" ht="15" hidden="false" customHeight="false" outlineLevel="0" collapsed="false">
      <c r="A2" s="19" t="s">
        <v>173</v>
      </c>
    </row>
    <row r="4" customFormat="false" ht="15" hidden="false" customHeight="false" outlineLevel="0" collapsed="false">
      <c r="A4" s="8" t="s">
        <v>174</v>
      </c>
    </row>
    <row r="5" customFormat="false" ht="15" hidden="false" customHeight="false" outlineLevel="0" collapsed="false">
      <c r="A5" s="10" t="s">
        <v>175</v>
      </c>
      <c r="B5" s="34" t="n">
        <v>0.4</v>
      </c>
      <c r="C5" s="34" t="n">
        <v>0.6</v>
      </c>
      <c r="D5" s="34" t="n">
        <v>0.8</v>
      </c>
      <c r="E5" s="34" t="n">
        <v>1</v>
      </c>
      <c r="F5" s="34" t="n">
        <v>1.2</v>
      </c>
    </row>
    <row r="6" customFormat="false" ht="15" hidden="false" customHeight="false" outlineLevel="0" collapsed="false">
      <c r="A6" s="16" t="n">
        <v>0.005</v>
      </c>
      <c r="B6" s="23" t="n">
        <v>537492</v>
      </c>
      <c r="C6" s="23" t="n">
        <v>776240</v>
      </c>
      <c r="D6" s="23" t="n">
        <v>1014987</v>
      </c>
      <c r="E6" s="23" t="n">
        <v>1253735</v>
      </c>
      <c r="F6" s="23" t="n">
        <v>1492482</v>
      </c>
    </row>
    <row r="7" customFormat="false" ht="15" hidden="false" customHeight="false" outlineLevel="0" collapsed="false">
      <c r="A7" s="16" t="n">
        <v>0.01</v>
      </c>
      <c r="B7" s="23" t="n">
        <v>512497</v>
      </c>
      <c r="C7" s="23" t="n">
        <v>742010</v>
      </c>
      <c r="D7" s="23" t="n">
        <v>971523</v>
      </c>
      <c r="E7" s="23" t="n">
        <v>1201036</v>
      </c>
      <c r="F7" s="23" t="n">
        <v>1430549</v>
      </c>
    </row>
    <row r="8" customFormat="false" ht="15" hidden="false" customHeight="false" outlineLevel="0" collapsed="false">
      <c r="A8" s="16" t="n">
        <v>0.015</v>
      </c>
      <c r="B8" s="23" t="n">
        <v>489205</v>
      </c>
      <c r="C8" s="23" t="n">
        <v>709994</v>
      </c>
      <c r="D8" s="23" t="n">
        <v>930783</v>
      </c>
      <c r="E8" s="23" t="n">
        <v>1151573</v>
      </c>
      <c r="F8" s="23" t="n">
        <v>1372362</v>
      </c>
    </row>
    <row r="9" customFormat="false" ht="15" hidden="false" customHeight="false" outlineLevel="0" collapsed="false">
      <c r="A9" s="16" t="n">
        <v>0.02</v>
      </c>
      <c r="B9" s="23" t="n">
        <v>467482</v>
      </c>
      <c r="C9" s="23" t="n">
        <v>680026</v>
      </c>
      <c r="D9" s="23" t="n">
        <v>892570</v>
      </c>
      <c r="E9" s="23" t="n">
        <v>1105113</v>
      </c>
      <c r="F9" s="23" t="n">
        <v>1317657</v>
      </c>
    </row>
    <row r="12" customFormat="false" ht="15" hidden="false" customHeight="false" outlineLevel="0" collapsed="false">
      <c r="A12" s="8" t="s">
        <v>176</v>
      </c>
    </row>
    <row r="13" customFormat="false" ht="15" hidden="false" customHeight="false" outlineLevel="0" collapsed="false">
      <c r="A13" s="10" t="s">
        <v>175</v>
      </c>
      <c r="B13" s="34" t="n">
        <v>0.4</v>
      </c>
      <c r="C13" s="34" t="n">
        <v>0.6</v>
      </c>
      <c r="D13" s="34" t="n">
        <v>0.8</v>
      </c>
      <c r="E13" s="34" t="n">
        <v>1</v>
      </c>
      <c r="F13" s="34" t="n">
        <v>1.2</v>
      </c>
    </row>
    <row r="14" customFormat="false" ht="15" hidden="false" customHeight="false" outlineLevel="0" collapsed="false">
      <c r="A14" s="16" t="n">
        <v>0.005</v>
      </c>
      <c r="B14" s="23" t="n">
        <v>863591</v>
      </c>
      <c r="C14" s="23" t="n">
        <v>519790</v>
      </c>
      <c r="D14" s="23" t="n">
        <v>349141</v>
      </c>
      <c r="E14" s="23" t="n">
        <v>267265</v>
      </c>
      <c r="F14" s="23" t="n">
        <v>217094</v>
      </c>
    </row>
    <row r="15" customFormat="false" ht="15" hidden="false" customHeight="false" outlineLevel="0" collapsed="false">
      <c r="A15" s="16" t="n">
        <v>0.01</v>
      </c>
      <c r="B15" s="23" t="n">
        <v>914944</v>
      </c>
      <c r="C15" s="23" t="n">
        <v>544767</v>
      </c>
      <c r="D15" s="23" t="n">
        <v>363957</v>
      </c>
      <c r="E15" s="23" t="n">
        <v>274033</v>
      </c>
      <c r="F15" s="23" t="n">
        <v>219360</v>
      </c>
    </row>
    <row r="16" customFormat="false" ht="15" hidden="false" customHeight="false" outlineLevel="0" collapsed="false">
      <c r="A16" s="16" t="n">
        <v>0.015</v>
      </c>
      <c r="B16" s="23" t="n">
        <v>969886</v>
      </c>
      <c r="C16" s="23" t="n">
        <v>570978</v>
      </c>
      <c r="D16" s="23" t="n">
        <v>380123</v>
      </c>
      <c r="E16" s="23" t="n">
        <v>280579</v>
      </c>
      <c r="F16" s="23" t="n">
        <v>222438</v>
      </c>
    </row>
    <row r="17" customFormat="false" ht="15" hidden="false" customHeight="false" outlineLevel="0" collapsed="false">
      <c r="A17" s="16" t="n">
        <v>0.02</v>
      </c>
      <c r="B17" s="23" t="n">
        <v>1021390</v>
      </c>
      <c r="C17" s="23" t="n">
        <v>598933</v>
      </c>
      <c r="D17" s="23" t="n">
        <v>395562</v>
      </c>
      <c r="E17" s="23" t="n">
        <v>287329</v>
      </c>
      <c r="F17" s="23" t="n">
        <v>227171</v>
      </c>
    </row>
    <row r="19" customFormat="false" ht="15" hidden="false" customHeight="false" outlineLevel="0" collapsed="false">
      <c r="A19" s="19" t="s">
        <v>177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0"/>
    <col collapsed="false" customWidth="true" hidden="false" outlineLevel="0" max="2" min="2" style="0" width="16"/>
  </cols>
  <sheetData>
    <row r="1" customFormat="false" ht="17.35" hidden="false" customHeight="false" outlineLevel="0" collapsed="false">
      <c r="A1" s="1" t="s">
        <v>178</v>
      </c>
    </row>
    <row r="3" customFormat="false" ht="15" hidden="false" customHeight="false" outlineLevel="0" collapsed="false">
      <c r="A3" s="8" t="s">
        <v>179</v>
      </c>
    </row>
    <row r="4" customFormat="false" ht="15" hidden="false" customHeight="false" outlineLevel="0" collapsed="false">
      <c r="A4" s="5" t="s">
        <v>180</v>
      </c>
      <c r="B4" s="20" t="n">
        <v>560000000000</v>
      </c>
    </row>
    <row r="5" customFormat="false" ht="15" hidden="false" customHeight="false" outlineLevel="0" collapsed="false">
      <c r="A5" s="5" t="s">
        <v>181</v>
      </c>
      <c r="B5" s="17" t="n">
        <v>4310</v>
      </c>
    </row>
    <row r="6" customFormat="false" ht="15" hidden="false" customHeight="false" outlineLevel="0" collapsed="false">
      <c r="A6" s="5" t="s">
        <v>182</v>
      </c>
      <c r="B6" s="17" t="n">
        <v>385</v>
      </c>
    </row>
    <row r="7" customFormat="false" ht="15" hidden="false" customHeight="false" outlineLevel="0" collapsed="false">
      <c r="A7" s="5" t="s">
        <v>183</v>
      </c>
      <c r="B7" s="13" t="n">
        <v>0.6</v>
      </c>
    </row>
    <row r="9" customFormat="false" ht="15" hidden="false" customHeight="false" outlineLevel="0" collapsed="false">
      <c r="A9" s="8" t="s">
        <v>184</v>
      </c>
    </row>
    <row r="10" customFormat="false" ht="15" hidden="false" customHeight="false" outlineLevel="0" collapsed="false">
      <c r="A10" s="5" t="s">
        <v>185</v>
      </c>
      <c r="B10" s="18" t="n">
        <f aca="false">B5+B6*B7</f>
        <v>4541</v>
      </c>
    </row>
    <row r="11" customFormat="false" ht="15" hidden="false" customHeight="false" outlineLevel="0" collapsed="false">
      <c r="A11" s="5" t="s">
        <v>186</v>
      </c>
      <c r="B11" s="23" t="n">
        <f aca="false">Assumptions!B20*12</f>
        <v>17880</v>
      </c>
    </row>
    <row r="12" customFormat="false" ht="15" hidden="false" customHeight="false" outlineLevel="0" collapsed="false">
      <c r="A12" s="5" t="s">
        <v>187</v>
      </c>
      <c r="B12" s="23" t="n">
        <f aca="false">B10*B11</f>
        <v>81193080</v>
      </c>
    </row>
    <row r="13" customFormat="false" ht="15" hidden="false" customHeight="false" outlineLevel="0" collapsed="false">
      <c r="A13" s="5" t="s">
        <v>188</v>
      </c>
      <c r="B13" s="23" t="n">
        <f aca="false">B10*UnitEconomics!B5*12</f>
        <v>55835510.8645235</v>
      </c>
    </row>
    <row r="14" customFormat="false" ht="15" hidden="false" customHeight="false" outlineLevel="0" collapsed="false">
      <c r="A14" s="5" t="s">
        <v>189</v>
      </c>
      <c r="B14" s="17" t="n">
        <v>100</v>
      </c>
    </row>
    <row r="15" customFormat="false" ht="15" hidden="false" customHeight="false" outlineLevel="0" collapsed="false">
      <c r="A15" s="5" t="s">
        <v>190</v>
      </c>
      <c r="B15" s="14" t="n">
        <f aca="false">B14/B10</f>
        <v>0.0220215811495265</v>
      </c>
    </row>
    <row r="16" customFormat="false" ht="15" hidden="false" customHeight="false" outlineLevel="0" collapsed="false">
      <c r="A16" s="5" t="s">
        <v>191</v>
      </c>
      <c r="B16" s="17" t="n">
        <v>1750</v>
      </c>
    </row>
    <row r="17" customFormat="false" ht="15" hidden="false" customHeight="false" outlineLevel="0" collapsed="false">
      <c r="A17" s="5" t="s">
        <v>192</v>
      </c>
      <c r="B17" s="20" t="n">
        <v>45000</v>
      </c>
    </row>
    <row r="19" customFormat="false" ht="15" hidden="false" customHeight="false" outlineLevel="0" collapsed="false">
      <c r="A19" s="19" t="s">
        <v>193</v>
      </c>
    </row>
    <row r="20" customFormat="false" ht="15" hidden="false" customHeight="false" outlineLevel="0" collapsed="false">
      <c r="A20" s="19" t="s">
        <v>194</v>
      </c>
    </row>
    <row r="21" customFormat="false" ht="15" hidden="false" customHeight="false" outlineLevel="0" collapsed="false">
      <c r="A21" s="19" t="s">
        <v>195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2026-07-18T10:07:57Z</dcterms:created>
  <dc:creator>openpyxl</dc:creator>
  <dc:description/>
  <dc:language>en-US</dc:language>
  <cp:lastModifiedBy/>
  <dcterms:modified xsi:type="dcterms:W3CDTF">2026-07-18T10:07:59Z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